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4320" activeTab="6"/>
  </bookViews>
  <sheets>
    <sheet name="2005" sheetId="1" r:id="rId1"/>
    <sheet name="2006" sheetId="6" r:id="rId2"/>
    <sheet name="2007" sheetId="7" r:id="rId3"/>
    <sheet name="2008" sheetId="8" r:id="rId4"/>
    <sheet name="2009" sheetId="9" r:id="rId5"/>
    <sheet name="2010" sheetId="10" r:id="rId6"/>
    <sheet name="2011 and Grand Totals" sheetId="11" r:id="rId7"/>
    <sheet name="Contact info" sheetId="4" state="hidden" r:id="rId8"/>
  </sheets>
  <definedNames>
    <definedName name="_xlnm._FilterDatabase" localSheetId="0" hidden="1">'2005'!$B$6:$S$35</definedName>
    <definedName name="_xlnm._FilterDatabase" localSheetId="1" hidden="1">'2006'!$B$6:$S$45</definedName>
    <definedName name="_xlnm._FilterDatabase" localSheetId="2" hidden="1">'2007'!$B$6:$S$40</definedName>
    <definedName name="_xlnm._FilterDatabase" localSheetId="3" hidden="1">'2008'!$B$6:$S$132</definedName>
    <definedName name="_xlnm._FilterDatabase" localSheetId="4" hidden="1">'2009'!$B$6:$S$85</definedName>
    <definedName name="_xlnm._FilterDatabase" localSheetId="5" hidden="1">'2010'!$B$6:$S$110</definedName>
    <definedName name="_xlnm._FilterDatabase" localSheetId="6" hidden="1">'2011 and Grand Totals'!$B$6:$S$14</definedName>
    <definedName name="_xlnm.Print_Area" localSheetId="0">'2005'!$A$1:$R$41</definedName>
    <definedName name="_xlnm.Print_Area" localSheetId="1">'2006'!$A$1:$R$46</definedName>
    <definedName name="_xlnm.Print_Area" localSheetId="2">'2007'!$A$1:$R$41</definedName>
    <definedName name="_xlnm.Print_Area" localSheetId="3">'2008'!$A$1:$R$133</definedName>
    <definedName name="_xlnm.Print_Area" localSheetId="4">'2009'!$A$1:$R$86</definedName>
    <definedName name="_xlnm.Print_Area" localSheetId="5">'2010'!$A$1:$R$111</definedName>
    <definedName name="_xlnm.Print_Area" localSheetId="6">'2011 and Grand Totals'!$A$1:$R$26</definedName>
    <definedName name="_xlnm.Print_Titles" localSheetId="0">'2005'!$5:$6</definedName>
    <definedName name="_xlnm.Print_Titles" localSheetId="1">'2006'!$5:$6</definedName>
    <definedName name="_xlnm.Print_Titles" localSheetId="2">'2007'!$5:$6</definedName>
    <definedName name="_xlnm.Print_Titles" localSheetId="3">'2008'!$5:$6</definedName>
    <definedName name="_xlnm.Print_Titles" localSheetId="4">'2009'!$5:$6</definedName>
    <definedName name="_xlnm.Print_Titles" localSheetId="5">'2010'!$5:$6</definedName>
    <definedName name="_xlnm.Print_Titles" localSheetId="6">'2011 and Grand Totals'!$5:$6</definedName>
  </definedNames>
  <calcPr calcId="125725"/>
</workbook>
</file>

<file path=xl/calcChain.xml><?xml version="1.0" encoding="utf-8"?>
<calcChain xmlns="http://schemas.openxmlformats.org/spreadsheetml/2006/main">
  <c r="M26" i="11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N24"/>
  <c r="R24" s="1"/>
  <c r="N23"/>
  <c r="R23" s="1"/>
  <c r="N22"/>
  <c r="R22" s="1"/>
  <c r="N21"/>
  <c r="R21" s="1"/>
  <c r="N20"/>
  <c r="R20" s="1"/>
  <c r="N19"/>
  <c r="R19" s="1"/>
  <c r="R41" i="1"/>
  <c r="Q41"/>
  <c r="P41"/>
  <c r="O41"/>
  <c r="N41"/>
  <c r="R40"/>
  <c r="R39"/>
  <c r="R38"/>
  <c r="R37"/>
  <c r="R36"/>
  <c r="O40"/>
  <c r="O39"/>
  <c r="O38"/>
  <c r="P15" i="11" l="1"/>
  <c r="P25" s="1"/>
  <c r="P26" s="1"/>
  <c r="N15"/>
  <c r="N25" s="1"/>
  <c r="R14"/>
  <c r="R13"/>
  <c r="R12"/>
  <c r="R11"/>
  <c r="R10"/>
  <c r="R9"/>
  <c r="R8"/>
  <c r="R7"/>
  <c r="Q15"/>
  <c r="Q25" s="1"/>
  <c r="Q26" s="1"/>
  <c r="O15"/>
  <c r="O25" s="1"/>
  <c r="O26" s="1"/>
  <c r="P111" i="10"/>
  <c r="N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Q60"/>
  <c r="R60" s="1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O37"/>
  <c r="R37" s="1"/>
  <c r="O36"/>
  <c r="R36" s="1"/>
  <c r="R35"/>
  <c r="O34"/>
  <c r="R34" s="1"/>
  <c r="R33"/>
  <c r="R32"/>
  <c r="O31"/>
  <c r="R31" s="1"/>
  <c r="R30"/>
  <c r="O30"/>
  <c r="R29"/>
  <c r="R28"/>
  <c r="R27"/>
  <c r="R26"/>
  <c r="R25"/>
  <c r="R24"/>
  <c r="R23"/>
  <c r="R22"/>
  <c r="R21"/>
  <c r="R20"/>
  <c r="R19"/>
  <c r="R18"/>
  <c r="R17"/>
  <c r="R16"/>
  <c r="R15"/>
  <c r="O14"/>
  <c r="R14" s="1"/>
  <c r="R13"/>
  <c r="R12"/>
  <c r="R11"/>
  <c r="R10"/>
  <c r="R9"/>
  <c r="O8"/>
  <c r="R8" s="1"/>
  <c r="R7"/>
  <c r="Q111"/>
  <c r="P86" i="9"/>
  <c r="N86"/>
  <c r="R85"/>
  <c r="R84"/>
  <c r="R83"/>
  <c r="R82"/>
  <c r="Q81"/>
  <c r="R81" s="1"/>
  <c r="R80"/>
  <c r="R79"/>
  <c r="R78"/>
  <c r="R77"/>
  <c r="R76"/>
  <c r="R75"/>
  <c r="R74"/>
  <c r="R73"/>
  <c r="R72"/>
  <c r="R71"/>
  <c r="R70"/>
  <c r="R69"/>
  <c r="R68"/>
  <c r="R67"/>
  <c r="R66"/>
  <c r="R65"/>
  <c r="R64"/>
  <c r="Q63"/>
  <c r="R63" s="1"/>
  <c r="Q62"/>
  <c r="R62" s="1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Q42"/>
  <c r="R42" s="1"/>
  <c r="Q41"/>
  <c r="R41" s="1"/>
  <c r="Q40"/>
  <c r="R40" s="1"/>
  <c r="R39"/>
  <c r="Q38"/>
  <c r="R38" s="1"/>
  <c r="R37"/>
  <c r="Q37"/>
  <c r="R36"/>
  <c r="O36"/>
  <c r="R35"/>
  <c r="O34"/>
  <c r="R34" s="1"/>
  <c r="R33"/>
  <c r="R32"/>
  <c r="Q31"/>
  <c r="R31" s="1"/>
  <c r="Q30"/>
  <c r="R30" s="1"/>
  <c r="Q29"/>
  <c r="R29" s="1"/>
  <c r="R28"/>
  <c r="R27"/>
  <c r="R26"/>
  <c r="R25"/>
  <c r="Q24"/>
  <c r="Q86" s="1"/>
  <c r="R23"/>
  <c r="R22"/>
  <c r="R21"/>
  <c r="R20"/>
  <c r="R19"/>
  <c r="R18"/>
  <c r="O17"/>
  <c r="R17" s="1"/>
  <c r="R16"/>
  <c r="O15"/>
  <c r="R15" s="1"/>
  <c r="R14"/>
  <c r="O13"/>
  <c r="R13" s="1"/>
  <c r="R12"/>
  <c r="O11"/>
  <c r="R11" s="1"/>
  <c r="O10"/>
  <c r="R10" s="1"/>
  <c r="R9"/>
  <c r="R8"/>
  <c r="R7"/>
  <c r="P133" i="8"/>
  <c r="N133"/>
  <c r="R132"/>
  <c r="R131"/>
  <c r="R130"/>
  <c r="R129"/>
  <c r="O128"/>
  <c r="R128" s="1"/>
  <c r="O127"/>
  <c r="R127" s="1"/>
  <c r="O126"/>
  <c r="R126" s="1"/>
  <c r="R125"/>
  <c r="R124"/>
  <c r="R123"/>
  <c r="R122"/>
  <c r="R121"/>
  <c r="R120"/>
  <c r="R119"/>
  <c r="R118"/>
  <c r="R117"/>
  <c r="O116"/>
  <c r="R116" s="1"/>
  <c r="O115"/>
  <c r="R115" s="1"/>
  <c r="R114"/>
  <c r="O114"/>
  <c r="R113"/>
  <c r="O113"/>
  <c r="R112"/>
  <c r="O112"/>
  <c r="R111"/>
  <c r="O111"/>
  <c r="R110"/>
  <c r="O110"/>
  <c r="R109"/>
  <c r="O109"/>
  <c r="R108"/>
  <c r="O108"/>
  <c r="R107"/>
  <c r="O107"/>
  <c r="R106"/>
  <c r="O106"/>
  <c r="R105"/>
  <c r="O105"/>
  <c r="R104"/>
  <c r="O104"/>
  <c r="R103"/>
  <c r="O103"/>
  <c r="R102"/>
  <c r="R101"/>
  <c r="R100"/>
  <c r="O99"/>
  <c r="R99" s="1"/>
  <c r="O98"/>
  <c r="R98" s="1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O66"/>
  <c r="R65"/>
  <c r="O65"/>
  <c r="R64"/>
  <c r="O63"/>
  <c r="R63" s="1"/>
  <c r="R62"/>
  <c r="O61"/>
  <c r="R61" s="1"/>
  <c r="R60"/>
  <c r="R59"/>
  <c r="R58"/>
  <c r="R57"/>
  <c r="O56"/>
  <c r="R56" s="1"/>
  <c r="R55"/>
  <c r="R54"/>
  <c r="O53"/>
  <c r="R53" s="1"/>
  <c r="R52"/>
  <c r="R51"/>
  <c r="O50"/>
  <c r="R50" s="1"/>
  <c r="O49"/>
  <c r="R49" s="1"/>
  <c r="O48"/>
  <c r="R48" s="1"/>
  <c r="O47"/>
  <c r="R47" s="1"/>
  <c r="O46"/>
  <c r="R46" s="1"/>
  <c r="R45"/>
  <c r="R44"/>
  <c r="O43"/>
  <c r="R43" s="1"/>
  <c r="O42"/>
  <c r="R42" s="1"/>
  <c r="R41"/>
  <c r="R40"/>
  <c r="R39"/>
  <c r="R38"/>
  <c r="R37"/>
  <c r="R36"/>
  <c r="R35"/>
  <c r="R34"/>
  <c r="R33"/>
  <c r="R32"/>
  <c r="R31"/>
  <c r="R30"/>
  <c r="O29"/>
  <c r="R29" s="1"/>
  <c r="R28"/>
  <c r="R27"/>
  <c r="R26"/>
  <c r="O25"/>
  <c r="R25" s="1"/>
  <c r="O24"/>
  <c r="R24" s="1"/>
  <c r="R23"/>
  <c r="R22"/>
  <c r="R21"/>
  <c r="R20"/>
  <c r="R19"/>
  <c r="R18"/>
  <c r="R17"/>
  <c r="R16"/>
  <c r="R15"/>
  <c r="R14"/>
  <c r="R13"/>
  <c r="R12"/>
  <c r="R11"/>
  <c r="R10"/>
  <c r="O9"/>
  <c r="R9" s="1"/>
  <c r="O8"/>
  <c r="R8" s="1"/>
  <c r="R7"/>
  <c r="Q133"/>
  <c r="P41" i="7"/>
  <c r="N41"/>
  <c r="O40"/>
  <c r="R40" s="1"/>
  <c r="Q39"/>
  <c r="R39" s="1"/>
  <c r="O38"/>
  <c r="R38" s="1"/>
  <c r="R37"/>
  <c r="Q36"/>
  <c r="R36" s="1"/>
  <c r="R35"/>
  <c r="R34"/>
  <c r="O34"/>
  <c r="R33"/>
  <c r="O33"/>
  <c r="R32"/>
  <c r="R31"/>
  <c r="R30"/>
  <c r="R29"/>
  <c r="R28"/>
  <c r="O28"/>
  <c r="R27"/>
  <c r="O27"/>
  <c r="R26"/>
  <c r="O25"/>
  <c r="R25" s="1"/>
  <c r="O24"/>
  <c r="R24" s="1"/>
  <c r="R23"/>
  <c r="R22"/>
  <c r="O21"/>
  <c r="R21" s="1"/>
  <c r="O20"/>
  <c r="R20" s="1"/>
  <c r="O19"/>
  <c r="R19" s="1"/>
  <c r="R18"/>
  <c r="R17"/>
  <c r="R16"/>
  <c r="O15"/>
  <c r="R15" s="1"/>
  <c r="R14"/>
  <c r="R13"/>
  <c r="R12"/>
  <c r="O12"/>
  <c r="R11"/>
  <c r="O11"/>
  <c r="R10"/>
  <c r="O10"/>
  <c r="R9"/>
  <c r="R8"/>
  <c r="R7"/>
  <c r="Q41"/>
  <c r="O41"/>
  <c r="P46" i="6"/>
  <c r="N46"/>
  <c r="R45"/>
  <c r="O44"/>
  <c r="R44" s="1"/>
  <c r="R43"/>
  <c r="R42"/>
  <c r="R41"/>
  <c r="O40"/>
  <c r="R40" s="1"/>
  <c r="R39"/>
  <c r="O38"/>
  <c r="R38" s="1"/>
  <c r="R37"/>
  <c r="O37"/>
  <c r="R36"/>
  <c r="O36"/>
  <c r="R35"/>
  <c r="Q35"/>
  <c r="R34"/>
  <c r="O34"/>
  <c r="R33"/>
  <c r="O33"/>
  <c r="R32"/>
  <c r="O32"/>
  <c r="R31"/>
  <c r="O31"/>
  <c r="R30"/>
  <c r="R29"/>
  <c r="R28"/>
  <c r="O28"/>
  <c r="R27"/>
  <c r="O27"/>
  <c r="R26"/>
  <c r="O25"/>
  <c r="R25" s="1"/>
  <c r="O24"/>
  <c r="R24" s="1"/>
  <c r="O23"/>
  <c r="R23" s="1"/>
  <c r="O22"/>
  <c r="R22" s="1"/>
  <c r="R21"/>
  <c r="R20"/>
  <c r="O20"/>
  <c r="R19"/>
  <c r="O18"/>
  <c r="R18" s="1"/>
  <c r="R17"/>
  <c r="R16"/>
  <c r="Q15"/>
  <c r="R15" s="1"/>
  <c r="Q14"/>
  <c r="R14" s="1"/>
  <c r="O13"/>
  <c r="R13" s="1"/>
  <c r="O12"/>
  <c r="R12" s="1"/>
  <c r="O11"/>
  <c r="R11" s="1"/>
  <c r="O10"/>
  <c r="R10" s="1"/>
  <c r="O9"/>
  <c r="R9" s="1"/>
  <c r="R8"/>
  <c r="R7"/>
  <c r="O7"/>
  <c r="Q46"/>
  <c r="R35" i="1"/>
  <c r="R34"/>
  <c r="R33"/>
  <c r="R32"/>
  <c r="R29"/>
  <c r="R28"/>
  <c r="R27"/>
  <c r="R26"/>
  <c r="R25"/>
  <c r="R24"/>
  <c r="R22"/>
  <c r="R21"/>
  <c r="R20"/>
  <c r="R17"/>
  <c r="R15"/>
  <c r="R10"/>
  <c r="R9"/>
  <c r="R8"/>
  <c r="R25" i="11" l="1"/>
  <c r="R26" s="1"/>
  <c r="N26"/>
  <c r="R15"/>
  <c r="O111" i="10"/>
  <c r="R111"/>
  <c r="O86" i="9"/>
  <c r="O133" i="8"/>
  <c r="R86" i="9"/>
  <c r="R24"/>
  <c r="R133" i="8"/>
  <c r="R41" i="7"/>
  <c r="O46" i="6"/>
  <c r="R46"/>
  <c r="O30" i="1" l="1"/>
  <c r="R30" s="1"/>
  <c r="O18"/>
  <c r="R18" s="1"/>
  <c r="Q31"/>
  <c r="R31" l="1"/>
  <c r="O19"/>
  <c r="R19" s="1"/>
  <c r="O23"/>
  <c r="R23" s="1"/>
  <c r="O7"/>
  <c r="R7" s="1"/>
  <c r="O16" l="1"/>
  <c r="R16" s="1"/>
  <c r="O14"/>
  <c r="R14" s="1"/>
  <c r="O13"/>
  <c r="R13" s="1"/>
  <c r="O12"/>
  <c r="R12" s="1"/>
  <c r="O11"/>
  <c r="R11" l="1"/>
</calcChain>
</file>

<file path=xl/sharedStrings.xml><?xml version="1.0" encoding="utf-8"?>
<sst xmlns="http://schemas.openxmlformats.org/spreadsheetml/2006/main" count="2083" uniqueCount="267">
  <si>
    <t>Awarded Leases</t>
  </si>
  <si>
    <t>Parish</t>
  </si>
  <si>
    <t>Sale Date</t>
  </si>
  <si>
    <t>Adv. Tract Num</t>
  </si>
  <si>
    <t>Lease Num</t>
  </si>
  <si>
    <t>Bidder Name</t>
  </si>
  <si>
    <t>Leased Acres</t>
  </si>
  <si>
    <t>Price Per Acre</t>
  </si>
  <si>
    <t>Rental</t>
  </si>
  <si>
    <t>De Soto</t>
  </si>
  <si>
    <t>COASTAL LAND SERVICES INC.</t>
  </si>
  <si>
    <t>Bossier, Caddo</t>
  </si>
  <si>
    <t>SOUTHERN MANAGEMENT SERVICES,  INC.</t>
  </si>
  <si>
    <t>THEOPHILUS OIL, GAS &amp; LAND SERVICES, LLC</t>
  </si>
  <si>
    <t>CYPRESS ENERGY CORPORATION</t>
  </si>
  <si>
    <t>Caddo</t>
  </si>
  <si>
    <t>MARTIN PRODUCING LLC</t>
  </si>
  <si>
    <t>Bienville</t>
  </si>
  <si>
    <t>COHORT ENERGY COMPANY</t>
  </si>
  <si>
    <t>Red River</t>
  </si>
  <si>
    <t>RHUMBA OPERATING,  LLC</t>
  </si>
  <si>
    <t>Bossier, Webster</t>
  </si>
  <si>
    <t>Bienville, Webster</t>
  </si>
  <si>
    <t>MATADOR RESOURCES COMPANY</t>
  </si>
  <si>
    <t>Caddo, Red River</t>
  </si>
  <si>
    <t>HERITAGE ENERGY COMPANY</t>
  </si>
  <si>
    <t>SUNCOAST LAND SERVICES, INC.</t>
  </si>
  <si>
    <t>COASTAL LAND SERVICES, INC.</t>
  </si>
  <si>
    <t>KCS RESOURCES, INC.</t>
  </si>
  <si>
    <t>Bossier</t>
  </si>
  <si>
    <t>MERLIN OIL &amp; GAS, INC.</t>
  </si>
  <si>
    <t>ROBERT A. SCHROEDER, INC.</t>
  </si>
  <si>
    <t>MCGINTY-DURHAM,  INC.</t>
  </si>
  <si>
    <t>MILCO ENERGY, LLC</t>
  </si>
  <si>
    <t>MARTIN PRODUCING,  LLC</t>
  </si>
  <si>
    <t>EOG RESOURCES, INC.</t>
  </si>
  <si>
    <t>De Soto, Red River</t>
  </si>
  <si>
    <t>CHESAPEAKE LOUISIANA, L.P.</t>
  </si>
  <si>
    <t>Natchitoches</t>
  </si>
  <si>
    <t>WINCHESTER PRODUCTION COMPANY</t>
  </si>
  <si>
    <t>KSC RESOURCES, INC.</t>
  </si>
  <si>
    <t>EQUITY OIL COMPANY</t>
  </si>
  <si>
    <t>WOODLAND PETROLEUM CORPORATION</t>
  </si>
  <si>
    <t>TELLUS ENERGY LLC</t>
  </si>
  <si>
    <t>ST. MARY LAND &amp; EXPLORATION COMPANY</t>
  </si>
  <si>
    <t>THEOPHILUS OIL, GAS &amp; LAND SERVICE, LLC</t>
  </si>
  <si>
    <t>SKLARCO, L.L.C.</t>
  </si>
  <si>
    <t>MADISON EXPLORATION,  INC.</t>
  </si>
  <si>
    <t>RHUMBA OPERATING, LLC</t>
  </si>
  <si>
    <t>SULPHUR RIVER EXPLORATION, INC.</t>
  </si>
  <si>
    <t>ST. MARY LAND &amp;  EXPLORATION COMPANY</t>
  </si>
  <si>
    <t>THEOPHILUS OIL, GAS &amp; LAND SERVICES,  LLC</t>
  </si>
  <si>
    <t>MARK A. O'NEAL &amp; ASSOCIATES, INC.</t>
  </si>
  <si>
    <t>FOREST OIL CORPORATION</t>
  </si>
  <si>
    <t>AUDUBON OIL AND GAS CORPORATION</t>
  </si>
  <si>
    <t>LANO,  LLC</t>
  </si>
  <si>
    <t>Sabine</t>
  </si>
  <si>
    <t>COASTAL LAND SERVICES,  INC.</t>
  </si>
  <si>
    <t>MCGINTY-DURHAM, INC.</t>
  </si>
  <si>
    <t>LAFAYETTE LAND SERVICES, LLC</t>
  </si>
  <si>
    <t>SOUTHERN MANAGEMENT SERVICES.  INC.</t>
  </si>
  <si>
    <t>Caddo, De Soto</t>
  </si>
  <si>
    <t>MANNA ACQUISITIONS, L.L.C.</t>
  </si>
  <si>
    <t>NADEL &amp; GUSSMAN- JETTA OPERATING COMPANY/ KADAV INC.</t>
  </si>
  <si>
    <t>ENSIGHT III ENERGY PARTNERS, LP</t>
  </si>
  <si>
    <t>THEOPHILUS OIL, GAS AND LAND SERVICES,  LLC</t>
  </si>
  <si>
    <t>HUDDLESTON LAND SERVICES, INC.</t>
  </si>
  <si>
    <t>SAMSON CONTOUR ENERGY E &amp; P, LLC</t>
  </si>
  <si>
    <t>BERKSHIRE OPERATING, LLC</t>
  </si>
  <si>
    <t>TAPPER RESOURCES, INC.</t>
  </si>
  <si>
    <t>SAMSON CONTOUR ENERGY E &amp; P LLC</t>
  </si>
  <si>
    <t>JPD ENERGY, INC.</t>
  </si>
  <si>
    <t>KENNETH S. HILL PROPERTIES INC.</t>
  </si>
  <si>
    <t>NADEL AND GUSSMAN-JETTA OPERATING COMPANY/ KADAV, INC.</t>
  </si>
  <si>
    <t>SAMSON CONTOUR ENERGY E&amp;P LLC</t>
  </si>
  <si>
    <t>SKLARCO L.L.C.</t>
  </si>
  <si>
    <t>RIPPY OIL COMPANY</t>
  </si>
  <si>
    <t>RICHARD J. HAMILTON, II</t>
  </si>
  <si>
    <t>PINNACLE LEASING, LLC</t>
  </si>
  <si>
    <t>CLASSIC PETROLEUM, INC.</t>
  </si>
  <si>
    <t>RIVERSTONE ENERGY, L.P.</t>
  </si>
  <si>
    <t>CAMTERRA RESOURCES PARTNERS, LTD.</t>
  </si>
  <si>
    <t>SAYE OIL COMPANY</t>
  </si>
  <si>
    <t>ALBERT S. RUFFIN, JR.</t>
  </si>
  <si>
    <t>WINCHESTER PRODUCTION COMPANY, LTD</t>
  </si>
  <si>
    <t>LAFAYETTE LAND SERVICES LLC</t>
  </si>
  <si>
    <t>PINNACLE LEASING,  LLC</t>
  </si>
  <si>
    <t>MANNA ACQUISITIONS, LLC</t>
  </si>
  <si>
    <t>Bienville, Red River</t>
  </si>
  <si>
    <t>B H PETROLEUM, INC.</t>
  </si>
  <si>
    <t>Bienville, Bossier</t>
  </si>
  <si>
    <t>Bossier, Caddo, Red River</t>
  </si>
  <si>
    <t>SWEPI LP</t>
  </si>
  <si>
    <t>De Soto, Natchitoches, Red River</t>
  </si>
  <si>
    <t>Natchitoches, Red River</t>
  </si>
  <si>
    <t>De Soto, Sabine</t>
  </si>
  <si>
    <t>CLASSIC PETROLEUM,  INC.</t>
  </si>
  <si>
    <t>MARTIN PRODUCING, LLC</t>
  </si>
  <si>
    <t>PETROHAWK PROPERTIES, LP</t>
  </si>
  <si>
    <t>TRINITY EXPLORATION &amp; PRODUCTION, LLC</t>
  </si>
  <si>
    <t>MERIT ENERGY SERVICES, L.L.C.</t>
  </si>
  <si>
    <t>SAMSON CONTOUR ENERGY E&amp;P, LLC</t>
  </si>
  <si>
    <t>ENDEAVOR NATURAL GAS, LP</t>
  </si>
  <si>
    <t>QUESTAR EXPLORATION AND PRODUCTION COMPANY</t>
  </si>
  <si>
    <t>AUDOBON OIL AND GAS CORPORATION</t>
  </si>
  <si>
    <t>ENCANA OIL &amp; GAS (USA) INC.</t>
  </si>
  <si>
    <t>GARDNER OIL AND GAS, L.L.C.</t>
  </si>
  <si>
    <t>Caddo, DeSoto</t>
  </si>
  <si>
    <t>EXCO OPERATING COMPANY, LP</t>
  </si>
  <si>
    <t>BARTON W. MCDONALD</t>
  </si>
  <si>
    <t>GEMINI EXPLORATIONS, INC.</t>
  </si>
  <si>
    <t>EAGLE STONE ENERGY PARTNERS, L.P.</t>
  </si>
  <si>
    <t>QEP ENERGY COMPANY</t>
  </si>
  <si>
    <t>COMSTOCK OIL AND GAS-LOUISIANA, LLC</t>
  </si>
  <si>
    <t>PARAMOUNT ENERGY, INC.</t>
  </si>
  <si>
    <t>DeSoto, Red River</t>
  </si>
  <si>
    <t>SOURCE OIL, L.L.C.</t>
  </si>
  <si>
    <t>DeSoto</t>
  </si>
  <si>
    <t>COMSTOCK OIL &amp; GAS-LOUISIANA, LLC</t>
  </si>
  <si>
    <t>Haynesville Shale</t>
  </si>
  <si>
    <t>Caddo Parish Commission</t>
  </si>
  <si>
    <t>DOTD</t>
  </si>
  <si>
    <t>Caddo Levee District</t>
  </si>
  <si>
    <t>City of Shreveport</t>
  </si>
  <si>
    <t>Town of Blanchard</t>
  </si>
  <si>
    <t>Caddo Levee District/Caddo Parish Commission</t>
  </si>
  <si>
    <t>DWLF</t>
  </si>
  <si>
    <t>Caddo Parish School Board</t>
  </si>
  <si>
    <t>Office of State Parks</t>
  </si>
  <si>
    <t>David Wade Correctional Center</t>
  </si>
  <si>
    <t>Bienville Parish Police Jury</t>
  </si>
  <si>
    <t>DeSoto Parish School Board</t>
  </si>
  <si>
    <t>DeSoto Parish Police Jury</t>
  </si>
  <si>
    <t>Bossier Parish School Board</t>
  </si>
  <si>
    <t>Northwestern State University</t>
  </si>
  <si>
    <t>lease canceled by SMEB on 12/10/2008 due to minimums not met</t>
  </si>
  <si>
    <t>City of Mansfield</t>
  </si>
  <si>
    <t>Red River Parish School Board</t>
  </si>
  <si>
    <t>Village of Hall Summit</t>
  </si>
  <si>
    <t>Town of Ringgold</t>
  </si>
  <si>
    <t>Red River Waterway Commission</t>
  </si>
  <si>
    <t>Village of Grand Cane</t>
  </si>
  <si>
    <t>Bienville Parish School Board</t>
  </si>
  <si>
    <t>Village of South Mansfield</t>
  </si>
  <si>
    <t>Sabine Parish Police Jury</t>
  </si>
  <si>
    <t>Village of Noble</t>
  </si>
  <si>
    <t>Sabine Parish School Board</t>
  </si>
  <si>
    <t>Agency Name</t>
  </si>
  <si>
    <t>Status</t>
  </si>
  <si>
    <t>Delay Rentals</t>
  </si>
  <si>
    <t>Released</t>
  </si>
  <si>
    <t>HBP</t>
  </si>
  <si>
    <t>Active</t>
  </si>
  <si>
    <t>Primary Term</t>
  </si>
  <si>
    <t>Oil Royalties</t>
  </si>
  <si>
    <t>Gas Royalties</t>
  </si>
  <si>
    <t>Bonus</t>
  </si>
  <si>
    <t>Yes</t>
  </si>
  <si>
    <t>E-mail sent?</t>
  </si>
  <si>
    <t>Contact name</t>
  </si>
  <si>
    <t>Contact Phone</t>
  </si>
  <si>
    <t>Contacted?</t>
  </si>
  <si>
    <t>Notes</t>
  </si>
  <si>
    <t>Rodney Warren</t>
  </si>
  <si>
    <t>318-263-2019</t>
  </si>
  <si>
    <t xml:space="preserve">Keith Norwood </t>
  </si>
  <si>
    <t>Craig Windham</t>
  </si>
  <si>
    <t>318-221-2654</t>
  </si>
  <si>
    <t>Robert Glass</t>
  </si>
  <si>
    <t>318-226-6900</t>
  </si>
  <si>
    <t>318-603-6509</t>
  </si>
  <si>
    <t>Malcolm Stadtlander</t>
  </si>
  <si>
    <t>318-673-6048</t>
  </si>
  <si>
    <t>Response received?</t>
  </si>
  <si>
    <t>Information received?</t>
  </si>
  <si>
    <t>Steve Brown</t>
  </si>
  <si>
    <t>318-872-0738</t>
  </si>
  <si>
    <t>318-872-2836</t>
  </si>
  <si>
    <t>Mike Windham</t>
  </si>
  <si>
    <t>504-284-5268</t>
  </si>
  <si>
    <t>Marcus Jones</t>
  </si>
  <si>
    <t>318-357-5701</t>
  </si>
  <si>
    <t>John Lavin</t>
  </si>
  <si>
    <t>225-342-8114</t>
  </si>
  <si>
    <t>Ken Guidrey</t>
  </si>
  <si>
    <t>318-352-7446</t>
  </si>
  <si>
    <t>Ronald Busby</t>
  </si>
  <si>
    <t>318-256-5637</t>
  </si>
  <si>
    <t>Imon Jones</t>
  </si>
  <si>
    <t>Thomas Arceneaux</t>
  </si>
  <si>
    <t>318-929-7593</t>
  </si>
  <si>
    <t>Deloris Alford</t>
  </si>
  <si>
    <t>318-858-3251</t>
  </si>
  <si>
    <t>Robert E. Bethard</t>
  </si>
  <si>
    <t>318-932-4071</t>
  </si>
  <si>
    <t>Janice Rike</t>
  </si>
  <si>
    <t>318-645-9316</t>
  </si>
  <si>
    <t>Eureka Mayweather</t>
  </si>
  <si>
    <t>318-423-0043</t>
  </si>
  <si>
    <t>Contact E-mail</t>
  </si>
  <si>
    <t>Rwarren@bienvilleparish.org</t>
  </si>
  <si>
    <t>Caddolevee@bellsouth.net</t>
  </si>
  <si>
    <t>Rglass@caddo.org</t>
  </si>
  <si>
    <t>Malcolm.Stadtlander@shreveportla.gov</t>
  </si>
  <si>
    <t>Sbrown@desotoppj.com</t>
  </si>
  <si>
    <t>Jerry Goodwin</t>
  </si>
  <si>
    <t>Jlavin@crt.la.gov</t>
  </si>
  <si>
    <t>Steven Flanders</t>
  </si>
  <si>
    <t>sflanders@desotopsb.com</t>
  </si>
  <si>
    <t>dclerkmans@bellsouth.net</t>
  </si>
  <si>
    <t>MarcusJ@nsula.edu</t>
  </si>
  <si>
    <t>kenguidry@redriverwaterway.com</t>
  </si>
  <si>
    <t>318-586-7853</t>
  </si>
  <si>
    <t>debra@blanchardla.org</t>
  </si>
  <si>
    <t>James Woolfolk</t>
  </si>
  <si>
    <t>jwoolfolk@caddo.k12.la.us</t>
  </si>
  <si>
    <t>318-549-7215</t>
  </si>
  <si>
    <t>keith.norwood@bossierschools.org</t>
  </si>
  <si>
    <t>318-286-7412</t>
  </si>
  <si>
    <t>jegoodwin@corrections.state.la.us</t>
  </si>
  <si>
    <t>318-894-4699</t>
  </si>
  <si>
    <t>No payments</t>
  </si>
  <si>
    <t>318-932-4081 EXT 27</t>
  </si>
  <si>
    <t>rbethard@bellsouth.net</t>
  </si>
  <si>
    <t>David Jones</t>
  </si>
  <si>
    <t>Anne Marie Eves</t>
  </si>
  <si>
    <t>grandcane@bellsouth.net</t>
  </si>
  <si>
    <t>No royalites. Contacted company. Writing demand.</t>
  </si>
  <si>
    <t>318-263-8144</t>
  </si>
  <si>
    <t>Melony Mccarty</t>
  </si>
  <si>
    <t>318-872-0406 Ext 23</t>
  </si>
  <si>
    <t>Harvey Blanchard</t>
  </si>
  <si>
    <t>225-242-4527</t>
  </si>
  <si>
    <t>harvey.blanchard@la.gov</t>
  </si>
  <si>
    <t>town011@centurytel.net</t>
  </si>
  <si>
    <t>Djones@rrpsb.com</t>
  </si>
  <si>
    <t>bhaynie@bpsb.us</t>
  </si>
  <si>
    <t>Barry Haynie</t>
  </si>
  <si>
    <t>Demand Letter sent</t>
  </si>
  <si>
    <t>Producing but no checks yet.</t>
  </si>
  <si>
    <t>Royalty</t>
  </si>
  <si>
    <t>Revenues Received</t>
  </si>
  <si>
    <t>Lessor</t>
  </si>
  <si>
    <t>State of Louisiana</t>
  </si>
  <si>
    <t>Unknown</t>
  </si>
  <si>
    <t>Total Revenues</t>
  </si>
  <si>
    <t>As of April 8, 2011</t>
  </si>
  <si>
    <t>ANADARKO PETROLEUM CORP  &amp; SAMSON CONTOUR ENERGY E&amp;P, LLC</t>
  </si>
  <si>
    <t>Red River Parish School Bd/DeSoto Parish School Bd</t>
  </si>
  <si>
    <t>Bossier Parish School Bd/Caddo Parish School Bd</t>
  </si>
  <si>
    <t>CY</t>
  </si>
  <si>
    <t>2005 Totals</t>
  </si>
  <si>
    <t>Calendar Year 2005</t>
  </si>
  <si>
    <t>2006 Totals</t>
  </si>
  <si>
    <t>Calendar Year 2006</t>
  </si>
  <si>
    <t>Calendar Year 2007</t>
  </si>
  <si>
    <t>2007 Totals</t>
  </si>
  <si>
    <t>2008 Totals</t>
  </si>
  <si>
    <t>Calendar Year 2009</t>
  </si>
  <si>
    <t>2009 Totals</t>
  </si>
  <si>
    <t>Calendar Year 2010</t>
  </si>
  <si>
    <t>2010 Totals</t>
  </si>
  <si>
    <t>2011 Totals</t>
  </si>
  <si>
    <t>Calendar Year 2011 (YTD) and Summary of Calendar Years 2005 through 2010</t>
  </si>
  <si>
    <t>Grand Total</t>
  </si>
  <si>
    <t>Calendar Year 2008</t>
  </si>
  <si>
    <t>Num. Leases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</si>
</sst>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u/>
      <sz val="6.6"/>
      <name val="Calibri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quotePrefix="1" applyFont="1" applyAlignment="1">
      <alignment horizontal="left"/>
    </xf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5" fillId="2" borderId="0" xfId="3" applyFill="1" applyAlignment="1" applyProtection="1"/>
    <xf numFmtId="0" fontId="0" fillId="2" borderId="0" xfId="0" applyFill="1" applyAlignment="1">
      <alignment wrapText="1"/>
    </xf>
    <xf numFmtId="0" fontId="0" fillId="2" borderId="0" xfId="0" applyFont="1" applyFill="1"/>
    <xf numFmtId="0" fontId="6" fillId="2" borderId="0" xfId="0" applyFont="1" applyFill="1"/>
    <xf numFmtId="0" fontId="7" fillId="2" borderId="0" xfId="3" applyFont="1" applyFill="1" applyAlignment="1" applyProtection="1"/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44" fontId="0" fillId="0" borderId="1" xfId="2" applyFont="1" applyFill="1" applyBorder="1"/>
    <xf numFmtId="43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43" fontId="0" fillId="0" borderId="0" xfId="1" applyFont="1" applyAlignment="1"/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/>
    </xf>
    <xf numFmtId="8" fontId="14" fillId="0" borderId="0" xfId="0" applyNumberFormat="1" applyFont="1"/>
    <xf numFmtId="44" fontId="14" fillId="0" borderId="0" xfId="2" applyFont="1"/>
    <xf numFmtId="44" fontId="15" fillId="0" borderId="0" xfId="0" applyNumberFormat="1" applyFont="1"/>
    <xf numFmtId="0" fontId="9" fillId="0" borderId="0" xfId="0" applyFont="1" applyBorder="1" applyAlignment="1">
      <alignment horizontal="centerContinuous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/>
    <xf numFmtId="8" fontId="0" fillId="0" borderId="1" xfId="0" applyNumberFormat="1" applyBorder="1"/>
    <xf numFmtId="10" fontId="0" fillId="0" borderId="1" xfId="4" applyNumberFormat="1" applyFont="1" applyBorder="1" applyAlignment="1">
      <alignment horizontal="center"/>
    </xf>
    <xf numFmtId="44" fontId="0" fillId="0" borderId="1" xfId="2" applyFont="1" applyBorder="1"/>
    <xf numFmtId="0" fontId="0" fillId="0" borderId="1" xfId="0" quotePrefix="1" applyBorder="1" applyAlignment="1">
      <alignment horizontal="left" wrapText="1"/>
    </xf>
    <xf numFmtId="43" fontId="0" fillId="0" borderId="1" xfId="1" applyFont="1" applyBorder="1"/>
    <xf numFmtId="0" fontId="0" fillId="0" borderId="1" xfId="0" applyBorder="1" applyAlignment="1">
      <alignment horizontal="left" wrapText="1"/>
    </xf>
    <xf numFmtId="0" fontId="12" fillId="0" borderId="1" xfId="0" quotePrefix="1" applyFont="1" applyBorder="1" applyAlignment="1">
      <alignment horizontal="left"/>
    </xf>
    <xf numFmtId="43" fontId="0" fillId="0" borderId="1" xfId="1" quotePrefix="1" applyFont="1" applyBorder="1" applyAlignment="1">
      <alignment horizontal="lef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 applyAlignment="1"/>
    <xf numFmtId="8" fontId="0" fillId="0" borderId="1" xfId="0" applyNumberFormat="1" applyFill="1" applyBorder="1"/>
    <xf numFmtId="10" fontId="0" fillId="0" borderId="1" xfId="4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 wrapText="1"/>
    </xf>
    <xf numFmtId="43" fontId="1" fillId="0" borderId="1" xfId="1" applyFont="1" applyBorder="1"/>
    <xf numFmtId="43" fontId="13" fillId="0" borderId="1" xfId="1" applyFont="1" applyBorder="1"/>
    <xf numFmtId="43" fontId="13" fillId="0" borderId="1" xfId="1" applyFont="1" applyFill="1" applyBorder="1"/>
    <xf numFmtId="0" fontId="10" fillId="0" borderId="1" xfId="0" applyFont="1" applyFill="1" applyBorder="1" applyAlignment="1"/>
    <xf numFmtId="8" fontId="0" fillId="0" borderId="1" xfId="1" applyNumberFormat="1" applyFont="1" applyBorder="1"/>
    <xf numFmtId="0" fontId="12" fillId="0" borderId="1" xfId="0" applyFont="1" applyBorder="1" applyAlignment="1"/>
    <xf numFmtId="0" fontId="12" fillId="0" borderId="1" xfId="0" quotePrefix="1" applyFont="1" applyFill="1" applyBorder="1" applyAlignment="1">
      <alignment horizontal="left"/>
    </xf>
    <xf numFmtId="0" fontId="12" fillId="0" borderId="1" xfId="0" applyFont="1" applyFill="1" applyBorder="1" applyAlignment="1"/>
    <xf numFmtId="0" fontId="11" fillId="0" borderId="1" xfId="0" quotePrefix="1" applyFont="1" applyBorder="1" applyAlignment="1">
      <alignment horizontal="left" wrapText="1"/>
    </xf>
    <xf numFmtId="0" fontId="0" fillId="0" borderId="1" xfId="0" quotePrefix="1" applyFill="1" applyBorder="1" applyAlignment="1">
      <alignment horizontal="left"/>
    </xf>
    <xf numFmtId="0" fontId="12" fillId="0" borderId="1" xfId="0" quotePrefix="1" applyFont="1" applyBorder="1" applyAlignment="1">
      <alignment horizontal="left" wrapText="1"/>
    </xf>
    <xf numFmtId="0" fontId="0" fillId="0" borderId="0" xfId="0" applyBorder="1"/>
    <xf numFmtId="0" fontId="9" fillId="0" borderId="0" xfId="0" applyFont="1" applyFill="1" applyBorder="1" applyAlignment="1">
      <alignment horizontal="right"/>
    </xf>
    <xf numFmtId="8" fontId="14" fillId="0" borderId="0" xfId="0" applyNumberFormat="1" applyFont="1" applyBorder="1"/>
    <xf numFmtId="44" fontId="14" fillId="0" borderId="0" xfId="2" applyFont="1" applyBorder="1"/>
    <xf numFmtId="44" fontId="0" fillId="0" borderId="0" xfId="0" applyNumberFormat="1" applyBorder="1"/>
    <xf numFmtId="43" fontId="0" fillId="0" borderId="0" xfId="1" applyFont="1" applyBorder="1"/>
    <xf numFmtId="43" fontId="13" fillId="0" borderId="0" xfId="1" applyFont="1" applyBorder="1"/>
    <xf numFmtId="0" fontId="9" fillId="0" borderId="0" xfId="0" applyFont="1" applyFill="1" applyBorder="1"/>
    <xf numFmtId="44" fontId="15" fillId="0" borderId="0" xfId="0" applyNumberFormat="1" applyFont="1" applyBorder="1"/>
    <xf numFmtId="164" fontId="0" fillId="0" borderId="0" xfId="1" applyNumberFormat="1" applyFont="1" applyFill="1"/>
    <xf numFmtId="164" fontId="13" fillId="0" borderId="0" xfId="1" applyNumberFormat="1" applyFont="1" applyFill="1"/>
    <xf numFmtId="0" fontId="4" fillId="0" borderId="0" xfId="0" applyFont="1" applyFill="1" applyBorder="1"/>
    <xf numFmtId="164" fontId="16" fillId="0" borderId="0" xfId="0" applyNumberFormat="1" applyFont="1" applyFill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dclerkmans@bellsouth.net" TargetMode="External"/><Relationship Id="rId13" Type="http://schemas.openxmlformats.org/officeDocument/2006/relationships/hyperlink" Target="mailto:keith.norwood@bossierschools.org" TargetMode="External"/><Relationship Id="rId18" Type="http://schemas.openxmlformats.org/officeDocument/2006/relationships/hyperlink" Target="mailto:harvey.blanchard@la.gov" TargetMode="External"/><Relationship Id="rId3" Type="http://schemas.openxmlformats.org/officeDocument/2006/relationships/hyperlink" Target="mailto:Rglass@caddo.org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sflanders@desotopsb.com" TargetMode="External"/><Relationship Id="rId12" Type="http://schemas.openxmlformats.org/officeDocument/2006/relationships/hyperlink" Target="mailto:jwoolfolk@caddo.k12.la.us" TargetMode="External"/><Relationship Id="rId17" Type="http://schemas.openxmlformats.org/officeDocument/2006/relationships/hyperlink" Target="mailto:grandcane@bellsouth.net" TargetMode="External"/><Relationship Id="rId2" Type="http://schemas.openxmlformats.org/officeDocument/2006/relationships/hyperlink" Target="mailto:Caddolevee@bellsouth.net" TargetMode="External"/><Relationship Id="rId16" Type="http://schemas.openxmlformats.org/officeDocument/2006/relationships/hyperlink" Target="mailto:rbethard@bellsouth.net" TargetMode="External"/><Relationship Id="rId20" Type="http://schemas.openxmlformats.org/officeDocument/2006/relationships/hyperlink" Target="mailto:Djones@rrpsb.com" TargetMode="External"/><Relationship Id="rId1" Type="http://schemas.openxmlformats.org/officeDocument/2006/relationships/hyperlink" Target="mailto:Rwarren@bienvilleparish.org" TargetMode="External"/><Relationship Id="rId6" Type="http://schemas.openxmlformats.org/officeDocument/2006/relationships/hyperlink" Target="mailto:Jlavin@crt.la.gov" TargetMode="External"/><Relationship Id="rId11" Type="http://schemas.openxmlformats.org/officeDocument/2006/relationships/hyperlink" Target="mailto:debra@blanchardla.org" TargetMode="External"/><Relationship Id="rId5" Type="http://schemas.openxmlformats.org/officeDocument/2006/relationships/hyperlink" Target="mailto:Sbrown@desotoppj.com" TargetMode="External"/><Relationship Id="rId15" Type="http://schemas.openxmlformats.org/officeDocument/2006/relationships/hyperlink" Target="mailto:town011@centurytel.net" TargetMode="External"/><Relationship Id="rId10" Type="http://schemas.openxmlformats.org/officeDocument/2006/relationships/hyperlink" Target="mailto:kenguidry@redriverwaterway.com" TargetMode="External"/><Relationship Id="rId19" Type="http://schemas.openxmlformats.org/officeDocument/2006/relationships/hyperlink" Target="mailto:bhaynie@bpsb.us" TargetMode="External"/><Relationship Id="rId4" Type="http://schemas.openxmlformats.org/officeDocument/2006/relationships/hyperlink" Target="mailto:Malcolm.Stadtlander@shreveportla.gov" TargetMode="External"/><Relationship Id="rId9" Type="http://schemas.openxmlformats.org/officeDocument/2006/relationships/hyperlink" Target="mailto:MarcusJ@nsula.edu" TargetMode="External"/><Relationship Id="rId14" Type="http://schemas.openxmlformats.org/officeDocument/2006/relationships/hyperlink" Target="mailto:jegoodwin@corrections.state.l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/>
  </sheetViews>
  <sheetFormatPr defaultRowHeight="15"/>
  <cols>
    <col min="1" max="1" width="5.42578125" customWidth="1"/>
    <col min="2" max="2" width="17.7109375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24.140625" bestFit="1" customWidth="1"/>
    <col min="8" max="8" width="47.1406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252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33" t="s">
        <v>9</v>
      </c>
      <c r="C7" s="34">
        <v>38364</v>
      </c>
      <c r="D7" s="32">
        <v>37046</v>
      </c>
      <c r="E7" s="27">
        <v>2005</v>
      </c>
      <c r="F7" s="32">
        <v>18445</v>
      </c>
      <c r="G7" s="35" t="s">
        <v>243</v>
      </c>
      <c r="H7" s="35" t="s">
        <v>10</v>
      </c>
      <c r="I7" s="27">
        <v>20.07</v>
      </c>
      <c r="J7" s="36">
        <v>200</v>
      </c>
      <c r="K7" s="36">
        <v>2007</v>
      </c>
      <c r="L7" s="37">
        <v>0.2</v>
      </c>
      <c r="M7" s="15" t="s">
        <v>150</v>
      </c>
      <c r="N7" s="38">
        <v>4014</v>
      </c>
      <c r="O7" s="38">
        <f>2007+2007</f>
        <v>4014</v>
      </c>
      <c r="P7" s="38">
        <v>0</v>
      </c>
      <c r="Q7" s="38">
        <v>0</v>
      </c>
      <c r="R7" s="38">
        <f>SUM(N7:Q7)</f>
        <v>8028</v>
      </c>
      <c r="S7"/>
    </row>
    <row r="8" spans="1:19">
      <c r="A8" s="32">
        <v>2</v>
      </c>
      <c r="B8" s="39" t="s">
        <v>11</v>
      </c>
      <c r="C8" s="34">
        <v>38392</v>
      </c>
      <c r="D8" s="32">
        <v>37064</v>
      </c>
      <c r="E8" s="27">
        <v>2005</v>
      </c>
      <c r="F8" s="32">
        <v>18450</v>
      </c>
      <c r="G8" s="35" t="s">
        <v>243</v>
      </c>
      <c r="H8" s="35" t="s">
        <v>12</v>
      </c>
      <c r="I8" s="27">
        <v>274</v>
      </c>
      <c r="J8" s="36">
        <v>152</v>
      </c>
      <c r="K8" s="36">
        <v>20824</v>
      </c>
      <c r="L8" s="37">
        <v>0.2</v>
      </c>
      <c r="M8" s="15" t="s">
        <v>150</v>
      </c>
      <c r="N8" s="40">
        <v>41648</v>
      </c>
      <c r="O8" s="40">
        <v>0</v>
      </c>
      <c r="P8" s="40">
        <v>0</v>
      </c>
      <c r="Q8" s="40">
        <v>0</v>
      </c>
      <c r="R8" s="40">
        <f>SUM(N8:Q8)</f>
        <v>41648</v>
      </c>
      <c r="S8"/>
    </row>
    <row r="9" spans="1:19">
      <c r="A9" s="32">
        <v>3</v>
      </c>
      <c r="B9" s="33" t="s">
        <v>15</v>
      </c>
      <c r="C9" s="34">
        <v>38392</v>
      </c>
      <c r="D9" s="32">
        <v>37179</v>
      </c>
      <c r="E9" s="27">
        <v>2005</v>
      </c>
      <c r="F9" s="32">
        <v>18494</v>
      </c>
      <c r="G9" s="35" t="s">
        <v>243</v>
      </c>
      <c r="H9" s="35" t="s">
        <v>16</v>
      </c>
      <c r="I9" s="27">
        <v>320</v>
      </c>
      <c r="J9" s="36">
        <v>255</v>
      </c>
      <c r="K9" s="36">
        <v>40800</v>
      </c>
      <c r="L9" s="37">
        <v>0.2</v>
      </c>
      <c r="M9" s="15" t="s">
        <v>150</v>
      </c>
      <c r="N9" s="40">
        <v>81600</v>
      </c>
      <c r="O9" s="40">
        <v>0</v>
      </c>
      <c r="P9" s="40">
        <v>0</v>
      </c>
      <c r="Q9" s="40">
        <v>0</v>
      </c>
      <c r="R9" s="40">
        <f t="shared" ref="R9:R40" si="0">SUM(N9:Q9)</f>
        <v>81600</v>
      </c>
      <c r="S9"/>
    </row>
    <row r="10" spans="1:19">
      <c r="A10" s="32">
        <v>4</v>
      </c>
      <c r="B10" s="33" t="s">
        <v>17</v>
      </c>
      <c r="C10" s="34">
        <v>38420</v>
      </c>
      <c r="D10" s="32">
        <v>37208</v>
      </c>
      <c r="E10" s="27">
        <v>2005</v>
      </c>
      <c r="F10" s="32">
        <v>18502</v>
      </c>
      <c r="G10" s="35" t="s">
        <v>243</v>
      </c>
      <c r="H10" s="35" t="s">
        <v>18</v>
      </c>
      <c r="I10" s="27">
        <v>9</v>
      </c>
      <c r="J10" s="36">
        <v>313</v>
      </c>
      <c r="K10" s="36">
        <v>1408.5</v>
      </c>
      <c r="L10" s="37">
        <v>0.22500000000000001</v>
      </c>
      <c r="M10" s="15" t="s">
        <v>150</v>
      </c>
      <c r="N10" s="40">
        <v>2817</v>
      </c>
      <c r="O10" s="40">
        <v>1409</v>
      </c>
      <c r="P10" s="40">
        <v>0</v>
      </c>
      <c r="Q10" s="40">
        <v>0</v>
      </c>
      <c r="R10" s="40">
        <f t="shared" si="0"/>
        <v>4226</v>
      </c>
      <c r="S10"/>
    </row>
    <row r="11" spans="1:19">
      <c r="A11" s="32">
        <v>5</v>
      </c>
      <c r="B11" s="33" t="s">
        <v>19</v>
      </c>
      <c r="C11" s="34">
        <v>38420</v>
      </c>
      <c r="D11" s="32">
        <v>37209</v>
      </c>
      <c r="E11" s="27">
        <v>2005</v>
      </c>
      <c r="F11" s="32">
        <v>18503</v>
      </c>
      <c r="G11" s="35" t="s">
        <v>243</v>
      </c>
      <c r="H11" s="35" t="s">
        <v>20</v>
      </c>
      <c r="I11" s="27">
        <v>215</v>
      </c>
      <c r="J11" s="36">
        <v>201.18</v>
      </c>
      <c r="K11" s="36">
        <v>21626.85</v>
      </c>
      <c r="L11" s="37">
        <v>0.2</v>
      </c>
      <c r="M11" s="15" t="s">
        <v>151</v>
      </c>
      <c r="N11" s="40">
        <v>43253.7</v>
      </c>
      <c r="O11" s="40">
        <f>21626.85+21626.85</f>
        <v>43253.7</v>
      </c>
      <c r="P11" s="17">
        <v>1703.68</v>
      </c>
      <c r="Q11" s="17">
        <v>227594.82</v>
      </c>
      <c r="R11" s="40">
        <f t="shared" si="0"/>
        <v>315805.90000000002</v>
      </c>
      <c r="S11"/>
    </row>
    <row r="12" spans="1:19">
      <c r="A12" s="32">
        <v>6</v>
      </c>
      <c r="B12" s="41" t="s">
        <v>21</v>
      </c>
      <c r="C12" s="34">
        <v>38483</v>
      </c>
      <c r="D12" s="32">
        <v>37309</v>
      </c>
      <c r="E12" s="27">
        <v>2005</v>
      </c>
      <c r="F12" s="32">
        <v>18554</v>
      </c>
      <c r="G12" s="35" t="s">
        <v>243</v>
      </c>
      <c r="H12" s="42" t="s">
        <v>247</v>
      </c>
      <c r="I12" s="27">
        <v>208</v>
      </c>
      <c r="J12" s="36">
        <v>427</v>
      </c>
      <c r="K12" s="36">
        <v>44408</v>
      </c>
      <c r="L12" s="37">
        <v>0.25</v>
      </c>
      <c r="M12" s="15" t="s">
        <v>150</v>
      </c>
      <c r="N12" s="40">
        <v>88816</v>
      </c>
      <c r="O12" s="40">
        <f>44408+44408</f>
        <v>88816</v>
      </c>
      <c r="P12" s="40">
        <v>0</v>
      </c>
      <c r="Q12" s="40">
        <v>0</v>
      </c>
      <c r="R12" s="40">
        <f t="shared" si="0"/>
        <v>177632</v>
      </c>
      <c r="S12"/>
    </row>
    <row r="13" spans="1:19">
      <c r="A13" s="32">
        <v>7</v>
      </c>
      <c r="B13" s="41" t="s">
        <v>21</v>
      </c>
      <c r="C13" s="34">
        <v>38483</v>
      </c>
      <c r="D13" s="32">
        <v>37309</v>
      </c>
      <c r="E13" s="27">
        <v>2005</v>
      </c>
      <c r="F13" s="32">
        <v>18555</v>
      </c>
      <c r="G13" s="35" t="s">
        <v>243</v>
      </c>
      <c r="H13" s="42" t="s">
        <v>247</v>
      </c>
      <c r="I13" s="27">
        <v>187</v>
      </c>
      <c r="J13" s="36">
        <v>427</v>
      </c>
      <c r="K13" s="36">
        <v>39924.5</v>
      </c>
      <c r="L13" s="37">
        <v>0.25</v>
      </c>
      <c r="M13" s="15" t="s">
        <v>150</v>
      </c>
      <c r="N13" s="40">
        <v>79849</v>
      </c>
      <c r="O13" s="40">
        <f>39924.5+39924.5</f>
        <v>79849</v>
      </c>
      <c r="P13" s="40">
        <v>0</v>
      </c>
      <c r="Q13" s="40">
        <v>0</v>
      </c>
      <c r="R13" s="40">
        <f t="shared" si="0"/>
        <v>159698</v>
      </c>
      <c r="S13"/>
    </row>
    <row r="14" spans="1:19">
      <c r="A14" s="32">
        <v>8</v>
      </c>
      <c r="B14" s="41" t="s">
        <v>22</v>
      </c>
      <c r="C14" s="34">
        <v>38483</v>
      </c>
      <c r="D14" s="32">
        <v>37310</v>
      </c>
      <c r="E14" s="27">
        <v>2005</v>
      </c>
      <c r="F14" s="32">
        <v>18556</v>
      </c>
      <c r="G14" s="35" t="s">
        <v>243</v>
      </c>
      <c r="H14" s="42" t="s">
        <v>247</v>
      </c>
      <c r="I14" s="27">
        <v>482</v>
      </c>
      <c r="J14" s="36">
        <v>427</v>
      </c>
      <c r="K14" s="36">
        <v>102907</v>
      </c>
      <c r="L14" s="37">
        <v>0.25</v>
      </c>
      <c r="M14" s="15" t="s">
        <v>150</v>
      </c>
      <c r="N14" s="40">
        <v>205814</v>
      </c>
      <c r="O14" s="43">
        <f>102907+102907</f>
        <v>205814</v>
      </c>
      <c r="P14" s="40">
        <v>0</v>
      </c>
      <c r="Q14" s="40">
        <v>0</v>
      </c>
      <c r="R14" s="40">
        <f t="shared" si="0"/>
        <v>411628</v>
      </c>
      <c r="S14"/>
    </row>
    <row r="15" spans="1:19">
      <c r="A15" s="32">
        <v>9</v>
      </c>
      <c r="B15" s="33" t="s">
        <v>15</v>
      </c>
      <c r="C15" s="34">
        <v>38511</v>
      </c>
      <c r="D15" s="32">
        <v>37428</v>
      </c>
      <c r="E15" s="27">
        <v>2005</v>
      </c>
      <c r="F15" s="32">
        <v>18604</v>
      </c>
      <c r="G15" s="35" t="s">
        <v>243</v>
      </c>
      <c r="H15" s="35" t="s">
        <v>23</v>
      </c>
      <c r="I15" s="27">
        <v>343</v>
      </c>
      <c r="J15" s="36">
        <v>277</v>
      </c>
      <c r="K15" s="36">
        <v>47505.5</v>
      </c>
      <c r="L15" s="37">
        <v>0.21</v>
      </c>
      <c r="M15" s="15" t="s">
        <v>150</v>
      </c>
      <c r="N15" s="40">
        <v>95011</v>
      </c>
      <c r="O15" s="40">
        <v>0</v>
      </c>
      <c r="P15" s="40">
        <v>0</v>
      </c>
      <c r="Q15" s="40">
        <v>0</v>
      </c>
      <c r="R15" s="40">
        <f t="shared" si="0"/>
        <v>95011</v>
      </c>
      <c r="S15"/>
    </row>
    <row r="16" spans="1:19">
      <c r="A16" s="32">
        <v>10</v>
      </c>
      <c r="B16" s="41" t="s">
        <v>24</v>
      </c>
      <c r="C16" s="34">
        <v>38511</v>
      </c>
      <c r="D16" s="32">
        <v>37429</v>
      </c>
      <c r="E16" s="27">
        <v>2005</v>
      </c>
      <c r="F16" s="32">
        <v>18605</v>
      </c>
      <c r="G16" s="35" t="s">
        <v>243</v>
      </c>
      <c r="H16" s="35" t="s">
        <v>23</v>
      </c>
      <c r="I16" s="27">
        <v>23</v>
      </c>
      <c r="J16" s="36">
        <v>256</v>
      </c>
      <c r="K16" s="36">
        <v>2944</v>
      </c>
      <c r="L16" s="37">
        <v>0.22</v>
      </c>
      <c r="M16" s="15" t="s">
        <v>151</v>
      </c>
      <c r="N16" s="40">
        <v>5888</v>
      </c>
      <c r="O16" s="40">
        <f>2944+1854.08+1854.08+3042.56-1188.48</f>
        <v>8506.24</v>
      </c>
      <c r="P16" s="17">
        <v>69.12</v>
      </c>
      <c r="Q16" s="17">
        <v>28738.14</v>
      </c>
      <c r="R16" s="40">
        <f t="shared" si="0"/>
        <v>43201.5</v>
      </c>
      <c r="S16"/>
    </row>
    <row r="17" spans="1:19">
      <c r="A17" s="32">
        <v>11</v>
      </c>
      <c r="B17" s="33" t="s">
        <v>19</v>
      </c>
      <c r="C17" s="34">
        <v>38511</v>
      </c>
      <c r="D17" s="32">
        <v>37430</v>
      </c>
      <c r="E17" s="27">
        <v>2005</v>
      </c>
      <c r="F17" s="32">
        <v>18606</v>
      </c>
      <c r="G17" s="35" t="s">
        <v>243</v>
      </c>
      <c r="H17" s="35" t="s">
        <v>25</v>
      </c>
      <c r="I17" s="27">
        <v>30</v>
      </c>
      <c r="J17" s="36">
        <v>210</v>
      </c>
      <c r="K17" s="36">
        <v>3150</v>
      </c>
      <c r="L17" s="37">
        <v>0.2</v>
      </c>
      <c r="M17" s="15" t="s">
        <v>151</v>
      </c>
      <c r="N17" s="40">
        <v>6300</v>
      </c>
      <c r="O17" s="40">
        <v>3150</v>
      </c>
      <c r="P17" s="17">
        <v>261.38</v>
      </c>
      <c r="Q17" s="17">
        <v>29204.18</v>
      </c>
      <c r="R17" s="40">
        <f t="shared" si="0"/>
        <v>38915.56</v>
      </c>
      <c r="S17"/>
    </row>
    <row r="18" spans="1:19">
      <c r="A18" s="32">
        <v>12</v>
      </c>
      <c r="B18" s="44" t="s">
        <v>15</v>
      </c>
      <c r="C18" s="45">
        <v>38511</v>
      </c>
      <c r="D18" s="18">
        <v>37462</v>
      </c>
      <c r="E18" s="27">
        <v>2005</v>
      </c>
      <c r="F18" s="18">
        <v>18626</v>
      </c>
      <c r="G18" s="46" t="s">
        <v>120</v>
      </c>
      <c r="H18" s="46" t="s">
        <v>23</v>
      </c>
      <c r="I18" s="15">
        <v>45</v>
      </c>
      <c r="J18" s="47">
        <v>377</v>
      </c>
      <c r="K18" s="47">
        <v>8482.5</v>
      </c>
      <c r="L18" s="48">
        <v>0.21</v>
      </c>
      <c r="M18" s="15" t="s">
        <v>150</v>
      </c>
      <c r="N18" s="17">
        <v>16965</v>
      </c>
      <c r="O18" s="40">
        <f>8482.5*2</f>
        <v>16965</v>
      </c>
      <c r="P18" s="40">
        <v>0</v>
      </c>
      <c r="Q18" s="40">
        <v>0</v>
      </c>
      <c r="R18" s="40">
        <f t="shared" si="0"/>
        <v>33930</v>
      </c>
      <c r="S18"/>
    </row>
    <row r="19" spans="1:19">
      <c r="A19" s="32">
        <v>13</v>
      </c>
      <c r="B19" s="44" t="s">
        <v>15</v>
      </c>
      <c r="C19" s="45">
        <v>38511</v>
      </c>
      <c r="D19" s="18">
        <v>37463</v>
      </c>
      <c r="E19" s="27">
        <v>2005</v>
      </c>
      <c r="F19" s="18">
        <v>18627</v>
      </c>
      <c r="G19" s="46" t="s">
        <v>121</v>
      </c>
      <c r="H19" s="46" t="s">
        <v>23</v>
      </c>
      <c r="I19" s="15">
        <v>24</v>
      </c>
      <c r="J19" s="47">
        <v>377</v>
      </c>
      <c r="K19" s="47">
        <v>4524</v>
      </c>
      <c r="L19" s="48">
        <v>0.21</v>
      </c>
      <c r="M19" s="15" t="s">
        <v>150</v>
      </c>
      <c r="N19" s="17">
        <v>9048</v>
      </c>
      <c r="O19" s="40">
        <f>4524+4524</f>
        <v>9048</v>
      </c>
      <c r="P19" s="40">
        <v>0</v>
      </c>
      <c r="Q19" s="40">
        <v>0</v>
      </c>
      <c r="R19" s="40">
        <f t="shared" si="0"/>
        <v>18096</v>
      </c>
      <c r="S19"/>
    </row>
    <row r="20" spans="1:19">
      <c r="A20" s="32">
        <v>14</v>
      </c>
      <c r="B20" s="44" t="s">
        <v>15</v>
      </c>
      <c r="C20" s="45">
        <v>38511</v>
      </c>
      <c r="D20" s="18">
        <v>37466</v>
      </c>
      <c r="E20" s="27">
        <v>2005</v>
      </c>
      <c r="F20" s="18">
        <v>18630</v>
      </c>
      <c r="G20" s="46" t="s">
        <v>122</v>
      </c>
      <c r="H20" s="46" t="s">
        <v>23</v>
      </c>
      <c r="I20" s="15">
        <v>160</v>
      </c>
      <c r="J20" s="47">
        <v>512</v>
      </c>
      <c r="K20" s="47">
        <v>40960</v>
      </c>
      <c r="L20" s="48">
        <v>0.25</v>
      </c>
      <c r="M20" s="15" t="s">
        <v>151</v>
      </c>
      <c r="N20" s="17">
        <v>81920</v>
      </c>
      <c r="O20" s="40">
        <v>10240</v>
      </c>
      <c r="P20" s="40">
        <v>1515</v>
      </c>
      <c r="Q20" s="40">
        <v>155690</v>
      </c>
      <c r="R20" s="40">
        <f t="shared" si="0"/>
        <v>249365</v>
      </c>
      <c r="S20"/>
    </row>
    <row r="21" spans="1:19">
      <c r="A21" s="32">
        <v>15</v>
      </c>
      <c r="B21" s="41" t="s">
        <v>24</v>
      </c>
      <c r="C21" s="34">
        <v>38511</v>
      </c>
      <c r="D21" s="32">
        <v>37487</v>
      </c>
      <c r="E21" s="27">
        <v>2005</v>
      </c>
      <c r="F21" s="32">
        <v>18635</v>
      </c>
      <c r="G21" s="35" t="s">
        <v>243</v>
      </c>
      <c r="H21" s="35" t="s">
        <v>28</v>
      </c>
      <c r="I21" s="27">
        <v>276.91000000000003</v>
      </c>
      <c r="J21" s="36">
        <v>275</v>
      </c>
      <c r="K21" s="36">
        <v>38075.129999999997</v>
      </c>
      <c r="L21" s="37">
        <v>0.26</v>
      </c>
      <c r="M21" s="15" t="s">
        <v>151</v>
      </c>
      <c r="N21" s="40">
        <v>76150.25</v>
      </c>
      <c r="O21" s="40">
        <v>38075.129999999997</v>
      </c>
      <c r="P21" s="17">
        <v>0</v>
      </c>
      <c r="Q21" s="17">
        <v>1089701.71</v>
      </c>
      <c r="R21" s="40">
        <f t="shared" si="0"/>
        <v>1203927.0899999999</v>
      </c>
      <c r="S21"/>
    </row>
    <row r="22" spans="1:19">
      <c r="A22" s="32">
        <v>16</v>
      </c>
      <c r="B22" s="33" t="s">
        <v>29</v>
      </c>
      <c r="C22" s="34">
        <v>38546</v>
      </c>
      <c r="D22" s="32">
        <v>37511</v>
      </c>
      <c r="E22" s="27">
        <v>2005</v>
      </c>
      <c r="F22" s="32">
        <v>18641</v>
      </c>
      <c r="G22" s="35" t="s">
        <v>243</v>
      </c>
      <c r="H22" s="35" t="s">
        <v>28</v>
      </c>
      <c r="I22" s="27">
        <v>21</v>
      </c>
      <c r="J22" s="36">
        <v>375</v>
      </c>
      <c r="K22" s="36">
        <v>3937.5</v>
      </c>
      <c r="L22" s="37">
        <v>0.255</v>
      </c>
      <c r="M22" s="15" t="s">
        <v>151</v>
      </c>
      <c r="N22" s="40">
        <v>7875</v>
      </c>
      <c r="O22" s="40">
        <v>0</v>
      </c>
      <c r="P22" s="17">
        <v>188.6</v>
      </c>
      <c r="Q22" s="17">
        <v>125054.43</v>
      </c>
      <c r="R22" s="40">
        <f t="shared" si="0"/>
        <v>133118.03</v>
      </c>
      <c r="S22"/>
    </row>
    <row r="23" spans="1:19">
      <c r="A23" s="32">
        <v>17</v>
      </c>
      <c r="B23" s="33" t="s">
        <v>15</v>
      </c>
      <c r="C23" s="34">
        <v>38546</v>
      </c>
      <c r="D23" s="32">
        <v>37629</v>
      </c>
      <c r="E23" s="27">
        <v>2005</v>
      </c>
      <c r="F23" s="32">
        <v>18687</v>
      </c>
      <c r="G23" s="35" t="s">
        <v>243</v>
      </c>
      <c r="H23" s="35" t="s">
        <v>34</v>
      </c>
      <c r="I23" s="27">
        <v>20</v>
      </c>
      <c r="J23" s="36">
        <v>300</v>
      </c>
      <c r="K23" s="36">
        <v>3000</v>
      </c>
      <c r="L23" s="37">
        <v>0.2</v>
      </c>
      <c r="M23" s="15" t="s">
        <v>151</v>
      </c>
      <c r="N23" s="40">
        <v>6000</v>
      </c>
      <c r="O23" s="40">
        <f>3000+3000</f>
        <v>6000</v>
      </c>
      <c r="P23" s="17">
        <v>30.3</v>
      </c>
      <c r="Q23" s="17">
        <v>25769.89</v>
      </c>
      <c r="R23" s="40">
        <f t="shared" si="0"/>
        <v>37800.19</v>
      </c>
      <c r="S23"/>
    </row>
    <row r="24" spans="1:19">
      <c r="A24" s="32">
        <v>18</v>
      </c>
      <c r="B24" s="33" t="s">
        <v>17</v>
      </c>
      <c r="C24" s="34">
        <v>38609</v>
      </c>
      <c r="D24" s="32">
        <v>37773</v>
      </c>
      <c r="E24" s="27">
        <v>2005</v>
      </c>
      <c r="F24" s="32">
        <v>18740</v>
      </c>
      <c r="G24" s="35" t="s">
        <v>243</v>
      </c>
      <c r="H24" s="35" t="s">
        <v>18</v>
      </c>
      <c r="I24" s="27">
        <v>148</v>
      </c>
      <c r="J24" s="36">
        <v>327</v>
      </c>
      <c r="K24" s="36">
        <v>24198</v>
      </c>
      <c r="L24" s="37">
        <v>0.23</v>
      </c>
      <c r="M24" s="15" t="s">
        <v>150</v>
      </c>
      <c r="N24" s="40">
        <v>48396</v>
      </c>
      <c r="O24" s="40">
        <v>0</v>
      </c>
      <c r="P24" s="40">
        <v>0</v>
      </c>
      <c r="Q24" s="40">
        <v>0</v>
      </c>
      <c r="R24" s="40">
        <f t="shared" si="0"/>
        <v>48396</v>
      </c>
      <c r="S24"/>
    </row>
    <row r="25" spans="1:19">
      <c r="A25" s="32">
        <v>19</v>
      </c>
      <c r="B25" s="39" t="s">
        <v>36</v>
      </c>
      <c r="C25" s="34">
        <v>38609</v>
      </c>
      <c r="D25" s="32">
        <v>37774</v>
      </c>
      <c r="E25" s="27">
        <v>2005</v>
      </c>
      <c r="F25" s="32">
        <v>18741</v>
      </c>
      <c r="G25" s="35" t="s">
        <v>243</v>
      </c>
      <c r="H25" s="35" t="s">
        <v>28</v>
      </c>
      <c r="I25" s="27">
        <v>12</v>
      </c>
      <c r="J25" s="36">
        <v>427</v>
      </c>
      <c r="K25" s="36">
        <v>2562</v>
      </c>
      <c r="L25" s="37">
        <v>0.26500000000000001</v>
      </c>
      <c r="M25" s="15" t="s">
        <v>151</v>
      </c>
      <c r="N25" s="40">
        <v>5124</v>
      </c>
      <c r="O25" s="40">
        <v>0</v>
      </c>
      <c r="P25" s="17">
        <v>209.03</v>
      </c>
      <c r="Q25" s="17">
        <v>9857.92</v>
      </c>
      <c r="R25" s="40">
        <f t="shared" si="0"/>
        <v>15190.95</v>
      </c>
      <c r="S25"/>
    </row>
    <row r="26" spans="1:19">
      <c r="A26" s="32">
        <v>20</v>
      </c>
      <c r="B26" s="49" t="s">
        <v>36</v>
      </c>
      <c r="C26" s="45">
        <v>38609</v>
      </c>
      <c r="D26" s="18">
        <v>37851</v>
      </c>
      <c r="E26" s="27">
        <v>2005</v>
      </c>
      <c r="F26" s="18">
        <v>18764</v>
      </c>
      <c r="G26" s="35" t="s">
        <v>243</v>
      </c>
      <c r="H26" s="35" t="s">
        <v>39</v>
      </c>
      <c r="I26" s="27">
        <v>92</v>
      </c>
      <c r="J26" s="36">
        <v>1000</v>
      </c>
      <c r="K26" s="36">
        <v>46000</v>
      </c>
      <c r="L26" s="37">
        <v>0.3333333</v>
      </c>
      <c r="M26" s="15" t="s">
        <v>151</v>
      </c>
      <c r="N26" s="40">
        <v>92000</v>
      </c>
      <c r="O26" s="17">
        <v>0</v>
      </c>
      <c r="P26" s="17">
        <v>0</v>
      </c>
      <c r="Q26" s="17">
        <v>2299.98</v>
      </c>
      <c r="R26" s="40">
        <f t="shared" si="0"/>
        <v>94299.98</v>
      </c>
      <c r="S26"/>
    </row>
    <row r="27" spans="1:19">
      <c r="A27" s="32">
        <v>21</v>
      </c>
      <c r="B27" s="33" t="s">
        <v>19</v>
      </c>
      <c r="C27" s="34">
        <v>38609</v>
      </c>
      <c r="D27" s="32">
        <v>37855</v>
      </c>
      <c r="E27" s="27">
        <v>2005</v>
      </c>
      <c r="F27" s="32">
        <v>18768</v>
      </c>
      <c r="G27" s="35" t="s">
        <v>243</v>
      </c>
      <c r="H27" s="35" t="s">
        <v>40</v>
      </c>
      <c r="I27" s="27">
        <v>16</v>
      </c>
      <c r="J27" s="36">
        <v>427</v>
      </c>
      <c r="K27" s="36">
        <v>3416</v>
      </c>
      <c r="L27" s="37">
        <v>0.26500000000000001</v>
      </c>
      <c r="M27" s="15" t="s">
        <v>151</v>
      </c>
      <c r="N27" s="40">
        <v>6832</v>
      </c>
      <c r="O27" s="40">
        <v>3416</v>
      </c>
      <c r="P27" s="17">
        <v>0</v>
      </c>
      <c r="Q27" s="17">
        <v>55758.01</v>
      </c>
      <c r="R27" s="40">
        <f t="shared" si="0"/>
        <v>66006.010000000009</v>
      </c>
      <c r="S27"/>
    </row>
    <row r="28" spans="1:19">
      <c r="A28" s="32">
        <v>22</v>
      </c>
      <c r="B28" s="44" t="s">
        <v>15</v>
      </c>
      <c r="C28" s="45">
        <v>38637</v>
      </c>
      <c r="D28" s="18">
        <v>37889</v>
      </c>
      <c r="E28" s="27">
        <v>2005</v>
      </c>
      <c r="F28" s="18">
        <v>18796</v>
      </c>
      <c r="G28" s="46" t="s">
        <v>122</v>
      </c>
      <c r="H28" s="46" t="s">
        <v>23</v>
      </c>
      <c r="I28" s="15">
        <v>1493.34</v>
      </c>
      <c r="J28" s="47">
        <v>211</v>
      </c>
      <c r="K28" s="47">
        <v>157547.37</v>
      </c>
      <c r="L28" s="48">
        <v>0.21</v>
      </c>
      <c r="M28" s="15" t="s">
        <v>151</v>
      </c>
      <c r="N28" s="17">
        <v>315094.74</v>
      </c>
      <c r="O28" s="40">
        <v>157547.37</v>
      </c>
      <c r="P28" s="40">
        <v>212</v>
      </c>
      <c r="Q28" s="40">
        <v>3107</v>
      </c>
      <c r="R28" s="40">
        <f t="shared" si="0"/>
        <v>475961.11</v>
      </c>
      <c r="S28"/>
    </row>
    <row r="29" spans="1:19">
      <c r="A29" s="32">
        <v>23</v>
      </c>
      <c r="B29" s="44" t="s">
        <v>15</v>
      </c>
      <c r="C29" s="45">
        <v>38637</v>
      </c>
      <c r="D29" s="18">
        <v>37890</v>
      </c>
      <c r="E29" s="27">
        <v>2005</v>
      </c>
      <c r="F29" s="18">
        <v>18797</v>
      </c>
      <c r="G29" s="46" t="s">
        <v>122</v>
      </c>
      <c r="H29" s="46" t="s">
        <v>42</v>
      </c>
      <c r="I29" s="15">
        <v>583.66</v>
      </c>
      <c r="J29" s="47">
        <v>257</v>
      </c>
      <c r="K29" s="47">
        <v>75000.31</v>
      </c>
      <c r="L29" s="48">
        <v>0.2</v>
      </c>
      <c r="M29" s="15" t="s">
        <v>150</v>
      </c>
      <c r="N29" s="17">
        <v>150000.62</v>
      </c>
      <c r="O29" s="40">
        <v>0</v>
      </c>
      <c r="P29" s="40">
        <v>0</v>
      </c>
      <c r="Q29" s="40">
        <v>0</v>
      </c>
      <c r="R29" s="40">
        <f t="shared" si="0"/>
        <v>150000.62</v>
      </c>
      <c r="S29"/>
    </row>
    <row r="30" spans="1:19">
      <c r="A30" s="32">
        <v>24</v>
      </c>
      <c r="B30" s="44" t="s">
        <v>15</v>
      </c>
      <c r="C30" s="45">
        <v>38637</v>
      </c>
      <c r="D30" s="18">
        <v>37891</v>
      </c>
      <c r="E30" s="27">
        <v>2005</v>
      </c>
      <c r="F30" s="18">
        <v>18798</v>
      </c>
      <c r="G30" s="46" t="s">
        <v>120</v>
      </c>
      <c r="H30" s="46" t="s">
        <v>43</v>
      </c>
      <c r="I30" s="15">
        <v>11</v>
      </c>
      <c r="J30" s="47">
        <v>1100</v>
      </c>
      <c r="K30" s="47">
        <v>6050</v>
      </c>
      <c r="L30" s="48">
        <v>0.25</v>
      </c>
      <c r="M30" s="15" t="s">
        <v>150</v>
      </c>
      <c r="N30" s="17">
        <v>12100</v>
      </c>
      <c r="O30" s="40">
        <f>K30*2</f>
        <v>12100</v>
      </c>
      <c r="P30" s="40">
        <v>0</v>
      </c>
      <c r="Q30" s="40">
        <v>0</v>
      </c>
      <c r="R30" s="40">
        <f t="shared" si="0"/>
        <v>24200</v>
      </c>
      <c r="S30"/>
    </row>
    <row r="31" spans="1:19">
      <c r="A31" s="32">
        <v>25</v>
      </c>
      <c r="B31" s="44" t="s">
        <v>15</v>
      </c>
      <c r="C31" s="45">
        <v>38665</v>
      </c>
      <c r="D31" s="18">
        <v>37939</v>
      </c>
      <c r="E31" s="27">
        <v>2005</v>
      </c>
      <c r="F31" s="18">
        <v>18817</v>
      </c>
      <c r="G31" s="46" t="s">
        <v>120</v>
      </c>
      <c r="H31" s="46" t="s">
        <v>44</v>
      </c>
      <c r="I31" s="15">
        <v>90.290999999999997</v>
      </c>
      <c r="J31" s="47">
        <v>200</v>
      </c>
      <c r="K31" s="47">
        <v>9029.1</v>
      </c>
      <c r="L31" s="48">
        <v>0.25</v>
      </c>
      <c r="M31" s="15" t="s">
        <v>151</v>
      </c>
      <c r="N31" s="17">
        <v>18058.2</v>
      </c>
      <c r="O31" s="40">
        <v>9029.1</v>
      </c>
      <c r="P31" s="40">
        <v>0</v>
      </c>
      <c r="Q31" s="40">
        <f>145012.33+15853.58</f>
        <v>160865.90999999997</v>
      </c>
      <c r="R31" s="40">
        <f t="shared" si="0"/>
        <v>187953.20999999996</v>
      </c>
      <c r="S31"/>
    </row>
    <row r="32" spans="1:19">
      <c r="A32" s="32">
        <v>26</v>
      </c>
      <c r="B32" s="44" t="s">
        <v>19</v>
      </c>
      <c r="C32" s="45">
        <v>38665</v>
      </c>
      <c r="D32" s="18">
        <v>37948</v>
      </c>
      <c r="E32" s="27">
        <v>2005</v>
      </c>
      <c r="F32" s="18">
        <v>18820</v>
      </c>
      <c r="G32" s="35" t="s">
        <v>243</v>
      </c>
      <c r="H32" s="35" t="s">
        <v>45</v>
      </c>
      <c r="I32" s="27">
        <v>281</v>
      </c>
      <c r="J32" s="36">
        <v>225</v>
      </c>
      <c r="K32" s="36">
        <v>31612.5</v>
      </c>
      <c r="L32" s="37">
        <v>0.25</v>
      </c>
      <c r="M32" s="15" t="s">
        <v>151</v>
      </c>
      <c r="N32" s="40">
        <v>63225</v>
      </c>
      <c r="O32" s="17"/>
      <c r="P32" s="17"/>
      <c r="Q32" s="17">
        <v>20947.45</v>
      </c>
      <c r="R32" s="40">
        <f t="shared" si="0"/>
        <v>84172.45</v>
      </c>
      <c r="S32"/>
    </row>
    <row r="33" spans="1:19">
      <c r="A33" s="32">
        <v>27</v>
      </c>
      <c r="B33" s="33" t="s">
        <v>15</v>
      </c>
      <c r="C33" s="34">
        <v>38665</v>
      </c>
      <c r="D33" s="32">
        <v>37949</v>
      </c>
      <c r="E33" s="27">
        <v>2005</v>
      </c>
      <c r="F33" s="32">
        <v>18821</v>
      </c>
      <c r="G33" s="35" t="s">
        <v>243</v>
      </c>
      <c r="H33" s="35" t="s">
        <v>33</v>
      </c>
      <c r="I33" s="27">
        <v>16</v>
      </c>
      <c r="J33" s="36">
        <v>526</v>
      </c>
      <c r="K33" s="36">
        <v>4208</v>
      </c>
      <c r="L33" s="37">
        <v>0.251</v>
      </c>
      <c r="M33" s="15" t="s">
        <v>150</v>
      </c>
      <c r="N33" s="40">
        <v>8416</v>
      </c>
      <c r="O33" s="40">
        <v>0</v>
      </c>
      <c r="P33" s="40">
        <v>0</v>
      </c>
      <c r="Q33" s="40">
        <v>0</v>
      </c>
      <c r="R33" s="40">
        <f t="shared" si="0"/>
        <v>8416</v>
      </c>
      <c r="S33"/>
    </row>
    <row r="34" spans="1:19">
      <c r="A34" s="32">
        <v>28</v>
      </c>
      <c r="B34" s="33" t="s">
        <v>15</v>
      </c>
      <c r="C34" s="34">
        <v>38665</v>
      </c>
      <c r="D34" s="32">
        <v>37950</v>
      </c>
      <c r="E34" s="27">
        <v>2005</v>
      </c>
      <c r="F34" s="32">
        <v>18822</v>
      </c>
      <c r="G34" s="35" t="s">
        <v>243</v>
      </c>
      <c r="H34" s="35" t="s">
        <v>33</v>
      </c>
      <c r="I34" s="27">
        <v>12</v>
      </c>
      <c r="J34" s="36">
        <v>526</v>
      </c>
      <c r="K34" s="36">
        <v>3156</v>
      </c>
      <c r="L34" s="37">
        <v>0.251</v>
      </c>
      <c r="M34" s="15" t="s">
        <v>150</v>
      </c>
      <c r="N34" s="40">
        <v>6312</v>
      </c>
      <c r="O34" s="40">
        <v>0</v>
      </c>
      <c r="P34" s="40">
        <v>0</v>
      </c>
      <c r="Q34" s="40">
        <v>0</v>
      </c>
      <c r="R34" s="40">
        <f t="shared" si="0"/>
        <v>6312</v>
      </c>
      <c r="S34"/>
    </row>
    <row r="35" spans="1:19">
      <c r="A35" s="32">
        <v>29</v>
      </c>
      <c r="B35" s="33" t="s">
        <v>15</v>
      </c>
      <c r="C35" s="34">
        <v>38665</v>
      </c>
      <c r="D35" s="32">
        <v>37951</v>
      </c>
      <c r="E35" s="27">
        <v>2005</v>
      </c>
      <c r="F35" s="32">
        <v>18823</v>
      </c>
      <c r="G35" s="35" t="s">
        <v>243</v>
      </c>
      <c r="H35" s="35" t="s">
        <v>33</v>
      </c>
      <c r="I35" s="27">
        <v>19</v>
      </c>
      <c r="J35" s="36">
        <v>526</v>
      </c>
      <c r="K35" s="36">
        <v>4997</v>
      </c>
      <c r="L35" s="37">
        <v>0.251</v>
      </c>
      <c r="M35" s="15" t="s">
        <v>150</v>
      </c>
      <c r="N35" s="50">
        <v>9994</v>
      </c>
      <c r="O35" s="50">
        <v>0</v>
      </c>
      <c r="P35" s="50">
        <v>0</v>
      </c>
      <c r="Q35" s="50">
        <v>0</v>
      </c>
      <c r="R35" s="50">
        <f t="shared" si="0"/>
        <v>9994</v>
      </c>
      <c r="S35"/>
    </row>
    <row r="36" spans="1:19">
      <c r="A36" s="32">
        <v>30</v>
      </c>
      <c r="B36" s="39" t="s">
        <v>11</v>
      </c>
      <c r="C36" s="34">
        <v>38700</v>
      </c>
      <c r="D36" s="32">
        <v>37959</v>
      </c>
      <c r="E36" s="27">
        <v>2005</v>
      </c>
      <c r="F36" s="32">
        <v>18829</v>
      </c>
      <c r="G36" s="35" t="s">
        <v>243</v>
      </c>
      <c r="H36" s="33" t="s">
        <v>46</v>
      </c>
      <c r="I36" s="27">
        <v>454</v>
      </c>
      <c r="J36" s="36">
        <v>150</v>
      </c>
      <c r="K36" s="36">
        <v>34050</v>
      </c>
      <c r="L36" s="37">
        <v>0.22</v>
      </c>
      <c r="M36" s="15" t="s">
        <v>150</v>
      </c>
      <c r="N36" s="40">
        <v>68100</v>
      </c>
      <c r="O36" s="40">
        <v>0</v>
      </c>
      <c r="P36" s="17">
        <v>0</v>
      </c>
      <c r="Q36" s="17">
        <v>0</v>
      </c>
      <c r="R36" s="50">
        <f t="shared" si="0"/>
        <v>68100</v>
      </c>
      <c r="S36"/>
    </row>
    <row r="37" spans="1:19">
      <c r="A37" s="32">
        <v>31</v>
      </c>
      <c r="B37" s="33" t="s">
        <v>17</v>
      </c>
      <c r="C37" s="34">
        <v>38700</v>
      </c>
      <c r="D37" s="32">
        <v>37960</v>
      </c>
      <c r="E37" s="27">
        <v>2005</v>
      </c>
      <c r="F37" s="32">
        <v>18830</v>
      </c>
      <c r="G37" s="35" t="s">
        <v>243</v>
      </c>
      <c r="H37" s="33" t="s">
        <v>47</v>
      </c>
      <c r="I37" s="27">
        <v>35</v>
      </c>
      <c r="J37" s="36">
        <v>310</v>
      </c>
      <c r="K37" s="36">
        <v>5425</v>
      </c>
      <c r="L37" s="37">
        <v>0.25</v>
      </c>
      <c r="M37" s="15" t="s">
        <v>150</v>
      </c>
      <c r="N37" s="40">
        <v>10850</v>
      </c>
      <c r="O37" s="40">
        <v>5425</v>
      </c>
      <c r="P37" s="17">
        <v>0</v>
      </c>
      <c r="Q37" s="17">
        <v>0</v>
      </c>
      <c r="R37" s="50">
        <f t="shared" si="0"/>
        <v>16275</v>
      </c>
      <c r="S37"/>
    </row>
    <row r="38" spans="1:19">
      <c r="A38" s="32">
        <v>32</v>
      </c>
      <c r="B38" s="33" t="s">
        <v>15</v>
      </c>
      <c r="C38" s="34">
        <v>38700</v>
      </c>
      <c r="D38" s="32">
        <v>38024</v>
      </c>
      <c r="E38" s="27">
        <v>2005</v>
      </c>
      <c r="F38" s="32">
        <v>18853</v>
      </c>
      <c r="G38" s="35" t="s">
        <v>243</v>
      </c>
      <c r="H38" s="33" t="s">
        <v>23</v>
      </c>
      <c r="I38" s="27">
        <v>6</v>
      </c>
      <c r="J38" s="36">
        <v>607</v>
      </c>
      <c r="K38" s="36">
        <v>1821</v>
      </c>
      <c r="L38" s="37">
        <v>0.255</v>
      </c>
      <c r="M38" s="15" t="s">
        <v>150</v>
      </c>
      <c r="N38" s="40">
        <v>3642</v>
      </c>
      <c r="O38" s="40">
        <f>1821+1821</f>
        <v>3642</v>
      </c>
      <c r="P38" s="40">
        <v>0</v>
      </c>
      <c r="Q38" s="40">
        <v>0</v>
      </c>
      <c r="R38" s="50">
        <f t="shared" si="0"/>
        <v>7284</v>
      </c>
      <c r="S38"/>
    </row>
    <row r="39" spans="1:19">
      <c r="A39" s="32">
        <v>33</v>
      </c>
      <c r="B39" s="33" t="s">
        <v>15</v>
      </c>
      <c r="C39" s="34">
        <v>38700</v>
      </c>
      <c r="D39" s="32">
        <v>38025</v>
      </c>
      <c r="E39" s="27">
        <v>2005</v>
      </c>
      <c r="F39" s="32">
        <v>18854</v>
      </c>
      <c r="G39" s="35" t="s">
        <v>243</v>
      </c>
      <c r="H39" s="33" t="s">
        <v>23</v>
      </c>
      <c r="I39" s="27">
        <v>19.75</v>
      </c>
      <c r="J39" s="36">
        <v>607</v>
      </c>
      <c r="K39" s="36">
        <v>5994.13</v>
      </c>
      <c r="L39" s="37">
        <v>0.255</v>
      </c>
      <c r="M39" s="15" t="s">
        <v>150</v>
      </c>
      <c r="N39" s="40">
        <v>11988.25</v>
      </c>
      <c r="O39" s="40">
        <f>5994.13+5994.13</f>
        <v>11988.26</v>
      </c>
      <c r="P39" s="40">
        <v>0</v>
      </c>
      <c r="Q39" s="40">
        <v>0</v>
      </c>
      <c r="R39" s="50">
        <f t="shared" si="0"/>
        <v>23976.510000000002</v>
      </c>
      <c r="S39"/>
    </row>
    <row r="40" spans="1:19" ht="17.25">
      <c r="A40" s="32">
        <v>34</v>
      </c>
      <c r="B40" s="39" t="s">
        <v>11</v>
      </c>
      <c r="C40" s="34">
        <v>38637</v>
      </c>
      <c r="D40" s="32">
        <v>37877</v>
      </c>
      <c r="E40" s="27">
        <v>2005</v>
      </c>
      <c r="F40" s="32">
        <v>18858</v>
      </c>
      <c r="G40" s="35" t="s">
        <v>243</v>
      </c>
      <c r="H40" s="33" t="s">
        <v>41</v>
      </c>
      <c r="I40" s="27">
        <v>459</v>
      </c>
      <c r="J40" s="36">
        <v>70</v>
      </c>
      <c r="K40" s="36">
        <v>16065</v>
      </c>
      <c r="L40" s="37">
        <v>0.22</v>
      </c>
      <c r="M40" s="15" t="s">
        <v>151</v>
      </c>
      <c r="N40" s="51">
        <v>32130</v>
      </c>
      <c r="O40" s="51">
        <f>16065+2979.55+2979.55</f>
        <v>22024.1</v>
      </c>
      <c r="P40" s="52">
        <v>120795.76</v>
      </c>
      <c r="Q40" s="52">
        <v>203282.26</v>
      </c>
      <c r="R40" s="51">
        <f t="shared" si="0"/>
        <v>378232.12</v>
      </c>
      <c r="S40"/>
    </row>
    <row r="41" spans="1:19" ht="17.25">
      <c r="A41" s="21"/>
      <c r="M41" s="22" t="s">
        <v>251</v>
      </c>
      <c r="N41" s="25">
        <f>SUM(N7:N40)</f>
        <v>1715231.76</v>
      </c>
      <c r="O41" s="25">
        <f t="shared" ref="O41:R41" si="1">SUM(O7:O40)</f>
        <v>740311.89999999991</v>
      </c>
      <c r="P41" s="25">
        <f t="shared" si="1"/>
        <v>124984.87</v>
      </c>
      <c r="Q41" s="25">
        <f t="shared" si="1"/>
        <v>2137871.6999999997</v>
      </c>
      <c r="R41" s="25">
        <f t="shared" si="1"/>
        <v>4718400.2299999995</v>
      </c>
    </row>
  </sheetData>
  <autoFilter ref="B6:S35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5" fitToHeight="23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/>
  </sheetViews>
  <sheetFormatPr defaultRowHeight="15"/>
  <cols>
    <col min="1" max="1" width="5.42578125" customWidth="1"/>
    <col min="2" max="2" width="17.5703125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34.28515625" bestFit="1" customWidth="1"/>
    <col min="8" max="8" width="43.425781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254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41" t="s">
        <v>21</v>
      </c>
      <c r="C7" s="34">
        <v>38728</v>
      </c>
      <c r="D7" s="27">
        <v>38029</v>
      </c>
      <c r="E7" s="27">
        <v>2006</v>
      </c>
      <c r="F7" s="32">
        <v>18862</v>
      </c>
      <c r="G7" s="35" t="s">
        <v>243</v>
      </c>
      <c r="H7" s="35" t="s">
        <v>14</v>
      </c>
      <c r="I7" s="27">
        <v>41</v>
      </c>
      <c r="J7" s="36">
        <v>353</v>
      </c>
      <c r="K7" s="36">
        <v>7236.5</v>
      </c>
      <c r="L7" s="37">
        <v>0.22</v>
      </c>
      <c r="M7" s="15" t="s">
        <v>150</v>
      </c>
      <c r="N7" s="38">
        <v>14473</v>
      </c>
      <c r="O7" s="38">
        <f>3971.25+3265.25-3265.25+3265.25</f>
        <v>7236.5</v>
      </c>
      <c r="P7" s="16">
        <v>0</v>
      </c>
      <c r="Q7" s="16">
        <v>0</v>
      </c>
      <c r="R7" s="38">
        <f t="shared" ref="R7:R38" si="0">SUM(N7:Q7)</f>
        <v>21709.5</v>
      </c>
      <c r="S7"/>
    </row>
    <row r="8" spans="1:19">
      <c r="A8" s="32">
        <v>2</v>
      </c>
      <c r="B8" s="33" t="s">
        <v>19</v>
      </c>
      <c r="C8" s="34">
        <v>38728</v>
      </c>
      <c r="D8" s="27">
        <v>38030</v>
      </c>
      <c r="E8" s="27">
        <v>2006</v>
      </c>
      <c r="F8" s="32">
        <v>18863</v>
      </c>
      <c r="G8" s="35" t="s">
        <v>243</v>
      </c>
      <c r="H8" s="35" t="s">
        <v>48</v>
      </c>
      <c r="I8" s="27">
        <v>112</v>
      </c>
      <c r="J8" s="36">
        <v>201.18</v>
      </c>
      <c r="K8" s="36">
        <v>11266.08</v>
      </c>
      <c r="L8" s="37">
        <v>0.2</v>
      </c>
      <c r="M8" s="15" t="s">
        <v>151</v>
      </c>
      <c r="N8" s="40">
        <v>22532.16</v>
      </c>
      <c r="O8" s="40">
        <v>11266.08</v>
      </c>
      <c r="P8" s="17">
        <v>245.33</v>
      </c>
      <c r="Q8" s="17">
        <v>0</v>
      </c>
      <c r="R8" s="40">
        <f t="shared" si="0"/>
        <v>34043.57</v>
      </c>
      <c r="S8"/>
    </row>
    <row r="9" spans="1:19">
      <c r="A9" s="32">
        <v>3</v>
      </c>
      <c r="B9" s="44" t="s">
        <v>15</v>
      </c>
      <c r="C9" s="45">
        <v>38728</v>
      </c>
      <c r="D9" s="15">
        <v>38068</v>
      </c>
      <c r="E9" s="27">
        <v>2006</v>
      </c>
      <c r="F9" s="18">
        <v>18879</v>
      </c>
      <c r="G9" s="46" t="s">
        <v>124</v>
      </c>
      <c r="H9" s="46" t="s">
        <v>23</v>
      </c>
      <c r="I9" s="15">
        <v>5.55</v>
      </c>
      <c r="J9" s="47">
        <v>611</v>
      </c>
      <c r="K9" s="47">
        <v>1695.53</v>
      </c>
      <c r="L9" s="48">
        <v>0.255</v>
      </c>
      <c r="M9" s="15" t="s">
        <v>150</v>
      </c>
      <c r="N9" s="17">
        <v>3391.05</v>
      </c>
      <c r="O9" s="40">
        <f>1695.53+1695.53</f>
        <v>3391.06</v>
      </c>
      <c r="P9" s="40">
        <v>0</v>
      </c>
      <c r="Q9" s="40">
        <v>0</v>
      </c>
      <c r="R9" s="40">
        <f t="shared" si="0"/>
        <v>6782.1100000000006</v>
      </c>
      <c r="S9"/>
    </row>
    <row r="10" spans="1:19">
      <c r="A10" s="32">
        <v>4</v>
      </c>
      <c r="B10" s="44" t="s">
        <v>15</v>
      </c>
      <c r="C10" s="45">
        <v>38728</v>
      </c>
      <c r="D10" s="15">
        <v>38069</v>
      </c>
      <c r="E10" s="27">
        <v>2006</v>
      </c>
      <c r="F10" s="18">
        <v>18880</v>
      </c>
      <c r="G10" s="46" t="s">
        <v>120</v>
      </c>
      <c r="H10" s="46" t="s">
        <v>49</v>
      </c>
      <c r="I10" s="15">
        <v>158.614</v>
      </c>
      <c r="J10" s="47">
        <v>500</v>
      </c>
      <c r="K10" s="47">
        <v>39653.5</v>
      </c>
      <c r="L10" s="48">
        <v>0.3</v>
      </c>
      <c r="M10" s="15" t="s">
        <v>150</v>
      </c>
      <c r="N10" s="17">
        <v>79307</v>
      </c>
      <c r="O10" s="40">
        <f>K10*2</f>
        <v>79307</v>
      </c>
      <c r="P10" s="40">
        <v>0</v>
      </c>
      <c r="Q10" s="40">
        <v>0</v>
      </c>
      <c r="R10" s="40">
        <f t="shared" si="0"/>
        <v>158614</v>
      </c>
      <c r="S10"/>
    </row>
    <row r="11" spans="1:19">
      <c r="A11" s="32">
        <v>5</v>
      </c>
      <c r="B11" s="44" t="s">
        <v>15</v>
      </c>
      <c r="C11" s="45">
        <v>38728</v>
      </c>
      <c r="D11" s="15">
        <v>38070</v>
      </c>
      <c r="E11" s="27">
        <v>2006</v>
      </c>
      <c r="F11" s="18">
        <v>18881</v>
      </c>
      <c r="G11" s="46" t="s">
        <v>120</v>
      </c>
      <c r="H11" s="46" t="s">
        <v>49</v>
      </c>
      <c r="I11" s="15">
        <v>2.57</v>
      </c>
      <c r="J11" s="47">
        <v>500</v>
      </c>
      <c r="K11" s="47">
        <v>642.5</v>
      </c>
      <c r="L11" s="48">
        <v>0.3</v>
      </c>
      <c r="M11" s="15" t="s">
        <v>150</v>
      </c>
      <c r="N11" s="17">
        <v>1285</v>
      </c>
      <c r="O11" s="40">
        <f>K11*2</f>
        <v>1285</v>
      </c>
      <c r="P11" s="40">
        <v>0</v>
      </c>
      <c r="Q11" s="40">
        <v>0</v>
      </c>
      <c r="R11" s="40">
        <f t="shared" si="0"/>
        <v>2570</v>
      </c>
      <c r="S11"/>
    </row>
    <row r="12" spans="1:19">
      <c r="A12" s="32">
        <v>6</v>
      </c>
      <c r="B12" s="33" t="s">
        <v>15</v>
      </c>
      <c r="C12" s="34">
        <v>38728</v>
      </c>
      <c r="D12" s="27">
        <v>38072</v>
      </c>
      <c r="E12" s="27">
        <v>2006</v>
      </c>
      <c r="F12" s="32">
        <v>18883</v>
      </c>
      <c r="G12" s="35" t="s">
        <v>243</v>
      </c>
      <c r="H12" s="35" t="s">
        <v>23</v>
      </c>
      <c r="I12" s="27">
        <v>10</v>
      </c>
      <c r="J12" s="36">
        <v>611</v>
      </c>
      <c r="K12" s="36">
        <v>3055</v>
      </c>
      <c r="L12" s="37">
        <v>0.255</v>
      </c>
      <c r="M12" s="15" t="s">
        <v>150</v>
      </c>
      <c r="N12" s="40">
        <v>6110</v>
      </c>
      <c r="O12" s="40">
        <f>3055+3055</f>
        <v>6110</v>
      </c>
      <c r="P12" s="40">
        <v>0</v>
      </c>
      <c r="Q12" s="40">
        <v>0</v>
      </c>
      <c r="R12" s="40">
        <f t="shared" si="0"/>
        <v>12220</v>
      </c>
      <c r="S12"/>
    </row>
    <row r="13" spans="1:19">
      <c r="A13" s="32">
        <v>7</v>
      </c>
      <c r="B13" s="33" t="s">
        <v>15</v>
      </c>
      <c r="C13" s="34">
        <v>38728</v>
      </c>
      <c r="D13" s="27">
        <v>38073</v>
      </c>
      <c r="E13" s="27">
        <v>2006</v>
      </c>
      <c r="F13" s="32">
        <v>18884</v>
      </c>
      <c r="G13" s="35" t="s">
        <v>243</v>
      </c>
      <c r="H13" s="35" t="s">
        <v>23</v>
      </c>
      <c r="I13" s="27">
        <v>7</v>
      </c>
      <c r="J13" s="36">
        <v>611</v>
      </c>
      <c r="K13" s="36">
        <v>2138.5</v>
      </c>
      <c r="L13" s="37">
        <v>0.255</v>
      </c>
      <c r="M13" s="15" t="s">
        <v>150</v>
      </c>
      <c r="N13" s="40">
        <v>4277</v>
      </c>
      <c r="O13" s="40">
        <f>2138.5+2138.5</f>
        <v>4277</v>
      </c>
      <c r="P13" s="40">
        <v>0</v>
      </c>
      <c r="Q13" s="40">
        <v>0</v>
      </c>
      <c r="R13" s="40">
        <f t="shared" si="0"/>
        <v>8554</v>
      </c>
      <c r="S13"/>
    </row>
    <row r="14" spans="1:19">
      <c r="A14" s="32">
        <v>8</v>
      </c>
      <c r="B14" s="44" t="s">
        <v>15</v>
      </c>
      <c r="C14" s="45">
        <v>38756</v>
      </c>
      <c r="D14" s="15">
        <v>38089</v>
      </c>
      <c r="E14" s="27">
        <v>2006</v>
      </c>
      <c r="F14" s="18">
        <v>18897</v>
      </c>
      <c r="G14" s="46" t="s">
        <v>120</v>
      </c>
      <c r="H14" s="46" t="s">
        <v>23</v>
      </c>
      <c r="I14" s="15">
        <v>102</v>
      </c>
      <c r="J14" s="47">
        <v>407</v>
      </c>
      <c r="K14" s="47">
        <v>20757</v>
      </c>
      <c r="L14" s="48">
        <v>0.251</v>
      </c>
      <c r="M14" s="15" t="s">
        <v>151</v>
      </c>
      <c r="N14" s="17">
        <v>41514</v>
      </c>
      <c r="O14" s="40">
        <v>20757</v>
      </c>
      <c r="P14" s="40">
        <v>0</v>
      </c>
      <c r="Q14" s="40">
        <f>602.39+109.26+2718.71</f>
        <v>3430.36</v>
      </c>
      <c r="R14" s="40">
        <f t="shared" si="0"/>
        <v>65701.36</v>
      </c>
      <c r="S14"/>
    </row>
    <row r="15" spans="1:19">
      <c r="A15" s="32">
        <v>9</v>
      </c>
      <c r="B15" s="44" t="s">
        <v>15</v>
      </c>
      <c r="C15" s="45">
        <v>38756</v>
      </c>
      <c r="D15" s="15">
        <v>38090</v>
      </c>
      <c r="E15" s="27">
        <v>2006</v>
      </c>
      <c r="F15" s="18">
        <v>18898</v>
      </c>
      <c r="G15" s="46" t="s">
        <v>120</v>
      </c>
      <c r="H15" s="46" t="s">
        <v>23</v>
      </c>
      <c r="I15" s="15">
        <v>109</v>
      </c>
      <c r="J15" s="47">
        <v>407</v>
      </c>
      <c r="K15" s="47">
        <v>22181.5</v>
      </c>
      <c r="L15" s="48">
        <v>0.251</v>
      </c>
      <c r="M15" s="15" t="s">
        <v>151</v>
      </c>
      <c r="N15" s="17">
        <v>44363</v>
      </c>
      <c r="O15" s="40">
        <v>22181.5</v>
      </c>
      <c r="P15" s="40">
        <v>0</v>
      </c>
      <c r="Q15" s="40">
        <f>8562.66+61.62+359.85</f>
        <v>8984.130000000001</v>
      </c>
      <c r="R15" s="40">
        <f t="shared" si="0"/>
        <v>75528.63</v>
      </c>
      <c r="S15"/>
    </row>
    <row r="16" spans="1:19">
      <c r="A16" s="32">
        <v>10</v>
      </c>
      <c r="B16" s="44" t="s">
        <v>15</v>
      </c>
      <c r="C16" s="45">
        <v>38756</v>
      </c>
      <c r="D16" s="15">
        <v>38091</v>
      </c>
      <c r="E16" s="27">
        <v>2006</v>
      </c>
      <c r="F16" s="18">
        <v>18899</v>
      </c>
      <c r="G16" s="46" t="s">
        <v>123</v>
      </c>
      <c r="H16" s="46" t="s">
        <v>50</v>
      </c>
      <c r="I16" s="15">
        <v>16.23</v>
      </c>
      <c r="J16" s="47">
        <v>200</v>
      </c>
      <c r="K16" s="47">
        <v>1623</v>
      </c>
      <c r="L16" s="48">
        <v>0.25</v>
      </c>
      <c r="M16" s="15" t="s">
        <v>150</v>
      </c>
      <c r="N16" s="17">
        <v>3246</v>
      </c>
      <c r="O16" s="40"/>
      <c r="P16" s="40"/>
      <c r="Q16" s="40"/>
      <c r="R16" s="40">
        <f t="shared" si="0"/>
        <v>3246</v>
      </c>
      <c r="S16"/>
    </row>
    <row r="17" spans="1:19">
      <c r="A17" s="32">
        <v>11</v>
      </c>
      <c r="B17" s="33" t="s">
        <v>17</v>
      </c>
      <c r="C17" s="34">
        <v>38756</v>
      </c>
      <c r="D17" s="27">
        <v>38102</v>
      </c>
      <c r="E17" s="27">
        <v>2006</v>
      </c>
      <c r="F17" s="32">
        <v>18905</v>
      </c>
      <c r="G17" s="35" t="s">
        <v>243</v>
      </c>
      <c r="H17" s="35" t="s">
        <v>52</v>
      </c>
      <c r="I17" s="27">
        <v>119</v>
      </c>
      <c r="J17" s="36">
        <v>372</v>
      </c>
      <c r="K17" s="36">
        <v>22134</v>
      </c>
      <c r="L17" s="37">
        <v>0.25</v>
      </c>
      <c r="M17" s="15" t="s">
        <v>150</v>
      </c>
      <c r="N17" s="40">
        <v>44268</v>
      </c>
      <c r="O17" s="40">
        <v>22134</v>
      </c>
      <c r="P17" s="40">
        <v>0</v>
      </c>
      <c r="Q17" s="40">
        <v>0</v>
      </c>
      <c r="R17" s="40">
        <f t="shared" si="0"/>
        <v>66402</v>
      </c>
      <c r="S17"/>
    </row>
    <row r="18" spans="1:19">
      <c r="A18" s="32">
        <v>12</v>
      </c>
      <c r="B18" s="39" t="s">
        <v>11</v>
      </c>
      <c r="C18" s="34">
        <v>38847</v>
      </c>
      <c r="D18" s="27">
        <v>38276</v>
      </c>
      <c r="E18" s="27">
        <v>2006</v>
      </c>
      <c r="F18" s="32">
        <v>18980</v>
      </c>
      <c r="G18" s="35" t="s">
        <v>243</v>
      </c>
      <c r="H18" s="35" t="s">
        <v>23</v>
      </c>
      <c r="I18" s="27">
        <v>437.42</v>
      </c>
      <c r="J18" s="36">
        <v>100</v>
      </c>
      <c r="K18" s="36">
        <v>21871</v>
      </c>
      <c r="L18" s="37">
        <v>0.2</v>
      </c>
      <c r="M18" s="15" t="s">
        <v>150</v>
      </c>
      <c r="N18" s="40">
        <v>43742</v>
      </c>
      <c r="O18" s="40">
        <f>21871+21871</f>
        <v>43742</v>
      </c>
      <c r="P18" s="17">
        <v>0</v>
      </c>
      <c r="Q18" s="17">
        <v>0</v>
      </c>
      <c r="R18" s="40">
        <f t="shared" si="0"/>
        <v>87484</v>
      </c>
      <c r="S18"/>
    </row>
    <row r="19" spans="1:19">
      <c r="A19" s="32">
        <v>13</v>
      </c>
      <c r="B19" s="33" t="s">
        <v>15</v>
      </c>
      <c r="C19" s="34">
        <v>38882</v>
      </c>
      <c r="D19" s="27">
        <v>38359</v>
      </c>
      <c r="E19" s="27">
        <v>2006</v>
      </c>
      <c r="F19" s="32">
        <v>19010</v>
      </c>
      <c r="G19" s="35" t="s">
        <v>243</v>
      </c>
      <c r="H19" s="35" t="s">
        <v>55</v>
      </c>
      <c r="I19" s="27">
        <v>139</v>
      </c>
      <c r="J19" s="36">
        <v>300</v>
      </c>
      <c r="K19" s="36">
        <v>20850</v>
      </c>
      <c r="L19" s="37">
        <v>0.21</v>
      </c>
      <c r="M19" s="15" t="s">
        <v>150</v>
      </c>
      <c r="N19" s="40">
        <v>41700</v>
      </c>
      <c r="O19" s="40">
        <v>0</v>
      </c>
      <c r="P19" s="17">
        <v>0</v>
      </c>
      <c r="Q19" s="17">
        <v>0</v>
      </c>
      <c r="R19" s="40">
        <f t="shared" si="0"/>
        <v>41700</v>
      </c>
      <c r="S19"/>
    </row>
    <row r="20" spans="1:19">
      <c r="A20" s="32">
        <v>14</v>
      </c>
      <c r="B20" s="39" t="s">
        <v>36</v>
      </c>
      <c r="C20" s="34">
        <v>38882</v>
      </c>
      <c r="D20" s="27">
        <v>38360</v>
      </c>
      <c r="E20" s="27">
        <v>2006</v>
      </c>
      <c r="F20" s="32">
        <v>19011</v>
      </c>
      <c r="G20" s="35" t="s">
        <v>243</v>
      </c>
      <c r="H20" s="35" t="s">
        <v>14</v>
      </c>
      <c r="I20" s="27">
        <v>3</v>
      </c>
      <c r="J20" s="36">
        <v>1331</v>
      </c>
      <c r="K20" s="36">
        <v>1996.5</v>
      </c>
      <c r="L20" s="37">
        <v>0.33329999999999999</v>
      </c>
      <c r="M20" s="15" t="s">
        <v>151</v>
      </c>
      <c r="N20" s="40">
        <v>3993</v>
      </c>
      <c r="O20" s="40">
        <f>1996.5+1078.11+1078.11+1078.11</f>
        <v>5230.829999999999</v>
      </c>
      <c r="P20" s="17">
        <v>0</v>
      </c>
      <c r="Q20" s="17">
        <v>308.5</v>
      </c>
      <c r="R20" s="40">
        <f t="shared" si="0"/>
        <v>9532.3299999999981</v>
      </c>
      <c r="S20"/>
    </row>
    <row r="21" spans="1:19">
      <c r="A21" s="32">
        <v>15</v>
      </c>
      <c r="B21" s="49" t="s">
        <v>36</v>
      </c>
      <c r="C21" s="45">
        <v>38882</v>
      </c>
      <c r="D21" s="15">
        <v>38392</v>
      </c>
      <c r="E21" s="27">
        <v>2006</v>
      </c>
      <c r="F21" s="18">
        <v>19027</v>
      </c>
      <c r="G21" s="35" t="s">
        <v>243</v>
      </c>
      <c r="H21" s="35" t="s">
        <v>14</v>
      </c>
      <c r="I21" s="27">
        <v>108.015</v>
      </c>
      <c r="J21" s="36">
        <v>1331</v>
      </c>
      <c r="K21" s="36">
        <v>71883.990000000005</v>
      </c>
      <c r="L21" s="37">
        <v>0.33329999999999999</v>
      </c>
      <c r="M21" s="15" t="s">
        <v>151</v>
      </c>
      <c r="N21" s="40">
        <v>143767.97</v>
      </c>
      <c r="O21" s="17">
        <v>0</v>
      </c>
      <c r="P21" s="17">
        <v>0</v>
      </c>
      <c r="Q21" s="17">
        <v>21447.08</v>
      </c>
      <c r="R21" s="40">
        <f t="shared" si="0"/>
        <v>165215.04999999999</v>
      </c>
      <c r="S21"/>
    </row>
    <row r="22" spans="1:19">
      <c r="A22" s="32">
        <v>16</v>
      </c>
      <c r="B22" s="33" t="s">
        <v>56</v>
      </c>
      <c r="C22" s="34">
        <v>38882</v>
      </c>
      <c r="D22" s="27">
        <v>38394</v>
      </c>
      <c r="E22" s="27">
        <v>2006</v>
      </c>
      <c r="F22" s="32">
        <v>19028</v>
      </c>
      <c r="G22" s="35" t="s">
        <v>243</v>
      </c>
      <c r="H22" s="35" t="s">
        <v>32</v>
      </c>
      <c r="I22" s="27">
        <v>15</v>
      </c>
      <c r="J22" s="36">
        <v>105</v>
      </c>
      <c r="K22" s="36">
        <v>787.5</v>
      </c>
      <c r="L22" s="37">
        <v>0.2</v>
      </c>
      <c r="M22" s="15" t="s">
        <v>150</v>
      </c>
      <c r="N22" s="40">
        <v>1575</v>
      </c>
      <c r="O22" s="40">
        <f>787.5+787.5</f>
        <v>1575</v>
      </c>
      <c r="P22" s="40">
        <v>0</v>
      </c>
      <c r="Q22" s="40">
        <v>0</v>
      </c>
      <c r="R22" s="40">
        <f t="shared" si="0"/>
        <v>3150</v>
      </c>
      <c r="S22"/>
    </row>
    <row r="23" spans="1:19">
      <c r="A23" s="32">
        <v>17</v>
      </c>
      <c r="B23" s="33" t="s">
        <v>56</v>
      </c>
      <c r="C23" s="34">
        <v>38882</v>
      </c>
      <c r="D23" s="27">
        <v>38395</v>
      </c>
      <c r="E23" s="27">
        <v>2006</v>
      </c>
      <c r="F23" s="32">
        <v>19029</v>
      </c>
      <c r="G23" s="35" t="s">
        <v>243</v>
      </c>
      <c r="H23" s="35" t="s">
        <v>32</v>
      </c>
      <c r="I23" s="27">
        <v>80</v>
      </c>
      <c r="J23" s="36">
        <v>105</v>
      </c>
      <c r="K23" s="36">
        <v>4200</v>
      </c>
      <c r="L23" s="37">
        <v>0.2</v>
      </c>
      <c r="M23" s="15" t="s">
        <v>150</v>
      </c>
      <c r="N23" s="40">
        <v>8400</v>
      </c>
      <c r="O23" s="40">
        <f>4200+4200</f>
        <v>8400</v>
      </c>
      <c r="P23" s="40">
        <v>0</v>
      </c>
      <c r="Q23" s="40">
        <v>0</v>
      </c>
      <c r="R23" s="40">
        <f t="shared" si="0"/>
        <v>16800</v>
      </c>
      <c r="S23"/>
    </row>
    <row r="24" spans="1:19">
      <c r="A24" s="32">
        <v>18</v>
      </c>
      <c r="B24" s="44" t="s">
        <v>9</v>
      </c>
      <c r="C24" s="45">
        <v>38910</v>
      </c>
      <c r="D24" s="15">
        <v>38439</v>
      </c>
      <c r="E24" s="27">
        <v>2006</v>
      </c>
      <c r="F24" s="18">
        <v>19047</v>
      </c>
      <c r="G24" s="46" t="s">
        <v>121</v>
      </c>
      <c r="H24" s="46" t="s">
        <v>57</v>
      </c>
      <c r="I24" s="15">
        <v>7.5</v>
      </c>
      <c r="J24" s="47">
        <v>168</v>
      </c>
      <c r="K24" s="47">
        <v>630</v>
      </c>
      <c r="L24" s="48">
        <v>0.21</v>
      </c>
      <c r="M24" s="15" t="s">
        <v>150</v>
      </c>
      <c r="N24" s="17">
        <v>1260</v>
      </c>
      <c r="O24" s="40">
        <f>630+630</f>
        <v>1260</v>
      </c>
      <c r="P24" s="40">
        <v>0</v>
      </c>
      <c r="Q24" s="40">
        <v>0</v>
      </c>
      <c r="R24" s="40">
        <f t="shared" si="0"/>
        <v>2520</v>
      </c>
      <c r="S24"/>
    </row>
    <row r="25" spans="1:19">
      <c r="A25" s="32">
        <v>19</v>
      </c>
      <c r="B25" s="44" t="s">
        <v>9</v>
      </c>
      <c r="C25" s="45">
        <v>38910</v>
      </c>
      <c r="D25" s="15">
        <v>38440</v>
      </c>
      <c r="E25" s="27">
        <v>2006</v>
      </c>
      <c r="F25" s="18">
        <v>19048</v>
      </c>
      <c r="G25" s="46" t="s">
        <v>121</v>
      </c>
      <c r="H25" s="46" t="s">
        <v>57</v>
      </c>
      <c r="I25" s="15">
        <v>5</v>
      </c>
      <c r="J25" s="47">
        <v>168</v>
      </c>
      <c r="K25" s="47">
        <v>420</v>
      </c>
      <c r="L25" s="48">
        <v>0.21</v>
      </c>
      <c r="M25" s="15" t="s">
        <v>150</v>
      </c>
      <c r="N25" s="17">
        <v>840</v>
      </c>
      <c r="O25" s="40">
        <f>420+420</f>
        <v>840</v>
      </c>
      <c r="P25" s="40">
        <v>0</v>
      </c>
      <c r="Q25" s="40">
        <v>0</v>
      </c>
      <c r="R25" s="40">
        <f t="shared" si="0"/>
        <v>1680</v>
      </c>
      <c r="S25"/>
    </row>
    <row r="26" spans="1:19">
      <c r="A26" s="32">
        <v>20</v>
      </c>
      <c r="B26" s="44" t="s">
        <v>15</v>
      </c>
      <c r="C26" s="45">
        <v>38938</v>
      </c>
      <c r="D26" s="15">
        <v>38537</v>
      </c>
      <c r="E26" s="27">
        <v>2006</v>
      </c>
      <c r="F26" s="18">
        <v>19089</v>
      </c>
      <c r="G26" s="46" t="s">
        <v>124</v>
      </c>
      <c r="H26" s="46" t="s">
        <v>23</v>
      </c>
      <c r="I26" s="15">
        <v>10</v>
      </c>
      <c r="J26" s="47">
        <v>300</v>
      </c>
      <c r="K26" s="47">
        <v>1500</v>
      </c>
      <c r="L26" s="48">
        <v>0.21</v>
      </c>
      <c r="M26" s="15" t="s">
        <v>151</v>
      </c>
      <c r="N26" s="17">
        <v>3000</v>
      </c>
      <c r="O26" s="40">
        <v>6000</v>
      </c>
      <c r="P26" s="40">
        <v>0</v>
      </c>
      <c r="Q26" s="40">
        <v>33.9</v>
      </c>
      <c r="R26" s="40">
        <f t="shared" si="0"/>
        <v>9033.9</v>
      </c>
      <c r="S26"/>
    </row>
    <row r="27" spans="1:19">
      <c r="A27" s="32">
        <v>21</v>
      </c>
      <c r="B27" s="33" t="s">
        <v>56</v>
      </c>
      <c r="C27" s="34">
        <v>38938</v>
      </c>
      <c r="D27" s="27">
        <v>38538</v>
      </c>
      <c r="E27" s="27">
        <v>2006</v>
      </c>
      <c r="F27" s="32">
        <v>19090</v>
      </c>
      <c r="G27" s="35" t="s">
        <v>243</v>
      </c>
      <c r="H27" s="35" t="s">
        <v>54</v>
      </c>
      <c r="I27" s="27">
        <v>160</v>
      </c>
      <c r="J27" s="36">
        <v>157</v>
      </c>
      <c r="K27" s="36">
        <v>12560</v>
      </c>
      <c r="L27" s="37">
        <v>0.21</v>
      </c>
      <c r="M27" s="15" t="s">
        <v>150</v>
      </c>
      <c r="N27" s="40">
        <v>25120</v>
      </c>
      <c r="O27" s="40">
        <f>12560+12560</f>
        <v>25120</v>
      </c>
      <c r="P27" s="40">
        <v>0</v>
      </c>
      <c r="Q27" s="40">
        <v>0</v>
      </c>
      <c r="R27" s="40">
        <f t="shared" si="0"/>
        <v>50240</v>
      </c>
      <c r="S27"/>
    </row>
    <row r="28" spans="1:19">
      <c r="A28" s="32">
        <v>22</v>
      </c>
      <c r="B28" s="33" t="s">
        <v>56</v>
      </c>
      <c r="C28" s="34">
        <v>38938</v>
      </c>
      <c r="D28" s="27">
        <v>38539</v>
      </c>
      <c r="E28" s="27">
        <v>2006</v>
      </c>
      <c r="F28" s="32">
        <v>19091</v>
      </c>
      <c r="G28" s="35" t="s">
        <v>243</v>
      </c>
      <c r="H28" s="35" t="s">
        <v>58</v>
      </c>
      <c r="I28" s="27">
        <v>34.5</v>
      </c>
      <c r="J28" s="36">
        <v>155</v>
      </c>
      <c r="K28" s="36">
        <v>2673.75</v>
      </c>
      <c r="L28" s="37">
        <v>0.2</v>
      </c>
      <c r="M28" s="15" t="s">
        <v>150</v>
      </c>
      <c r="N28" s="40">
        <v>5347.5</v>
      </c>
      <c r="O28" s="40">
        <f>2673.75+2673.75</f>
        <v>5347.5</v>
      </c>
      <c r="P28" s="40">
        <v>0</v>
      </c>
      <c r="Q28" s="40">
        <v>0</v>
      </c>
      <c r="R28" s="40">
        <f t="shared" si="0"/>
        <v>10695</v>
      </c>
      <c r="S28"/>
    </row>
    <row r="29" spans="1:19">
      <c r="A29" s="32">
        <v>23</v>
      </c>
      <c r="B29" s="39" t="s">
        <v>11</v>
      </c>
      <c r="C29" s="34">
        <v>39001</v>
      </c>
      <c r="D29" s="27">
        <v>38592</v>
      </c>
      <c r="E29" s="27">
        <v>2006</v>
      </c>
      <c r="F29" s="32">
        <v>19120</v>
      </c>
      <c r="G29" s="35" t="s">
        <v>243</v>
      </c>
      <c r="H29" s="35" t="s">
        <v>60</v>
      </c>
      <c r="I29" s="27">
        <v>248</v>
      </c>
      <c r="J29" s="36">
        <v>202</v>
      </c>
      <c r="K29" s="36">
        <v>25048</v>
      </c>
      <c r="L29" s="37">
        <v>0.2525</v>
      </c>
      <c r="M29" s="15" t="s">
        <v>150</v>
      </c>
      <c r="N29" s="40">
        <v>50096</v>
      </c>
      <c r="O29" s="40">
        <v>0</v>
      </c>
      <c r="P29" s="17">
        <v>0</v>
      </c>
      <c r="Q29" s="17">
        <v>0</v>
      </c>
      <c r="R29" s="40">
        <f t="shared" si="0"/>
        <v>50096</v>
      </c>
      <c r="S29"/>
    </row>
    <row r="30" spans="1:19">
      <c r="A30" s="32">
        <v>24</v>
      </c>
      <c r="B30" s="33" t="s">
        <v>15</v>
      </c>
      <c r="C30" s="34">
        <v>39001</v>
      </c>
      <c r="D30" s="27">
        <v>38593</v>
      </c>
      <c r="E30" s="27">
        <v>2006</v>
      </c>
      <c r="F30" s="32">
        <v>19121</v>
      </c>
      <c r="G30" s="35" t="s">
        <v>243</v>
      </c>
      <c r="H30" s="35" t="s">
        <v>51</v>
      </c>
      <c r="I30" s="27">
        <v>10</v>
      </c>
      <c r="J30" s="36">
        <v>375</v>
      </c>
      <c r="K30" s="36">
        <v>1875</v>
      </c>
      <c r="L30" s="37">
        <v>0.25</v>
      </c>
      <c r="M30" s="15" t="s">
        <v>151</v>
      </c>
      <c r="N30" s="40">
        <v>3750</v>
      </c>
      <c r="O30" s="40">
        <v>0</v>
      </c>
      <c r="P30" s="17">
        <v>68.89</v>
      </c>
      <c r="Q30" s="17">
        <v>17944.8</v>
      </c>
      <c r="R30" s="40">
        <f t="shared" si="0"/>
        <v>21763.69</v>
      </c>
      <c r="S30"/>
    </row>
    <row r="31" spans="1:19">
      <c r="A31" s="32">
        <v>25</v>
      </c>
      <c r="B31" s="39" t="s">
        <v>61</v>
      </c>
      <c r="C31" s="34">
        <v>39001</v>
      </c>
      <c r="D31" s="27">
        <v>38594</v>
      </c>
      <c r="E31" s="27">
        <v>2006</v>
      </c>
      <c r="F31" s="32">
        <v>19122</v>
      </c>
      <c r="G31" s="35" t="s">
        <v>243</v>
      </c>
      <c r="H31" s="35" t="s">
        <v>18</v>
      </c>
      <c r="I31" s="27">
        <v>71</v>
      </c>
      <c r="J31" s="36">
        <v>533</v>
      </c>
      <c r="K31" s="36">
        <v>18921.5</v>
      </c>
      <c r="L31" s="37">
        <v>0.25</v>
      </c>
      <c r="M31" s="15" t="s">
        <v>151</v>
      </c>
      <c r="N31" s="40">
        <v>37843</v>
      </c>
      <c r="O31" s="40">
        <f>18921.5+18921.5</f>
        <v>37843</v>
      </c>
      <c r="P31" s="17">
        <v>3905.83</v>
      </c>
      <c r="Q31" s="17">
        <v>18857.849999999999</v>
      </c>
      <c r="R31" s="40">
        <f t="shared" si="0"/>
        <v>98449.68</v>
      </c>
      <c r="S31"/>
    </row>
    <row r="32" spans="1:19">
      <c r="A32" s="32">
        <v>26</v>
      </c>
      <c r="B32" s="39" t="s">
        <v>11</v>
      </c>
      <c r="C32" s="34">
        <v>39001</v>
      </c>
      <c r="D32" s="27">
        <v>38595</v>
      </c>
      <c r="E32" s="27">
        <v>2006</v>
      </c>
      <c r="F32" s="32">
        <v>19123</v>
      </c>
      <c r="G32" s="35" t="s">
        <v>243</v>
      </c>
      <c r="H32" s="35" t="s">
        <v>62</v>
      </c>
      <c r="I32" s="27">
        <v>51</v>
      </c>
      <c r="J32" s="36">
        <v>695</v>
      </c>
      <c r="K32" s="36">
        <v>17722.5</v>
      </c>
      <c r="L32" s="37">
        <v>0.25</v>
      </c>
      <c r="M32" s="15" t="s">
        <v>151</v>
      </c>
      <c r="N32" s="40">
        <v>35445</v>
      </c>
      <c r="O32" s="40">
        <f>17722.5+17722.5</f>
        <v>35445</v>
      </c>
      <c r="P32" s="17">
        <v>0</v>
      </c>
      <c r="Q32" s="17">
        <v>513722.62</v>
      </c>
      <c r="R32" s="40">
        <f t="shared" si="0"/>
        <v>584612.62</v>
      </c>
      <c r="S32"/>
    </row>
    <row r="33" spans="1:19">
      <c r="A33" s="32">
        <v>27</v>
      </c>
      <c r="B33" s="39" t="s">
        <v>36</v>
      </c>
      <c r="C33" s="34">
        <v>39001</v>
      </c>
      <c r="D33" s="27">
        <v>38596</v>
      </c>
      <c r="E33" s="27">
        <v>2006</v>
      </c>
      <c r="F33" s="32">
        <v>19124</v>
      </c>
      <c r="G33" s="35" t="s">
        <v>243</v>
      </c>
      <c r="H33" s="35" t="s">
        <v>27</v>
      </c>
      <c r="I33" s="27">
        <v>35</v>
      </c>
      <c r="J33" s="36">
        <v>153</v>
      </c>
      <c r="K33" s="36">
        <v>2677.5</v>
      </c>
      <c r="L33" s="37">
        <v>0.2</v>
      </c>
      <c r="M33" s="15" t="s">
        <v>151</v>
      </c>
      <c r="N33" s="40">
        <v>5355</v>
      </c>
      <c r="O33" s="40">
        <f>2677.5+2677.5+2677.5-2677.5+2677.5</f>
        <v>8032.5</v>
      </c>
      <c r="P33" s="17">
        <v>0</v>
      </c>
      <c r="Q33" s="17">
        <v>185705.5</v>
      </c>
      <c r="R33" s="40">
        <f t="shared" si="0"/>
        <v>199093</v>
      </c>
      <c r="S33"/>
    </row>
    <row r="34" spans="1:19">
      <c r="A34" s="32">
        <v>28</v>
      </c>
      <c r="B34" s="39" t="s">
        <v>36</v>
      </c>
      <c r="C34" s="34">
        <v>39001</v>
      </c>
      <c r="D34" s="27">
        <v>38597</v>
      </c>
      <c r="E34" s="27">
        <v>2006</v>
      </c>
      <c r="F34" s="32">
        <v>19125</v>
      </c>
      <c r="G34" s="35" t="s">
        <v>243</v>
      </c>
      <c r="H34" s="35" t="s">
        <v>27</v>
      </c>
      <c r="I34" s="27">
        <v>53</v>
      </c>
      <c r="J34" s="36">
        <v>153</v>
      </c>
      <c r="K34" s="36">
        <v>4054.5</v>
      </c>
      <c r="L34" s="37">
        <v>0.2</v>
      </c>
      <c r="M34" s="15" t="s">
        <v>151</v>
      </c>
      <c r="N34" s="40">
        <v>8109</v>
      </c>
      <c r="O34" s="40">
        <f>4054.5+4054.5+4054.5-3893.85+4054.5</f>
        <v>12324.15</v>
      </c>
      <c r="P34" s="17">
        <v>0</v>
      </c>
      <c r="Q34" s="17">
        <v>249784.29</v>
      </c>
      <c r="R34" s="40">
        <f t="shared" si="0"/>
        <v>270217.44</v>
      </c>
      <c r="S34"/>
    </row>
    <row r="35" spans="1:19">
      <c r="A35" s="32">
        <v>29</v>
      </c>
      <c r="B35" s="49" t="s">
        <v>11</v>
      </c>
      <c r="C35" s="45">
        <v>39001</v>
      </c>
      <c r="D35" s="15">
        <v>38633</v>
      </c>
      <c r="E35" s="27">
        <v>2006</v>
      </c>
      <c r="F35" s="18">
        <v>19147</v>
      </c>
      <c r="G35" s="56" t="s">
        <v>249</v>
      </c>
      <c r="H35" s="57" t="s">
        <v>63</v>
      </c>
      <c r="I35" s="15">
        <v>450</v>
      </c>
      <c r="J35" s="47">
        <v>455</v>
      </c>
      <c r="K35" s="47">
        <v>102375</v>
      </c>
      <c r="L35" s="48">
        <v>0.25</v>
      </c>
      <c r="M35" s="15" t="s">
        <v>151</v>
      </c>
      <c r="N35" s="17">
        <v>204750</v>
      </c>
      <c r="O35" s="40">
        <v>0</v>
      </c>
      <c r="P35" s="40">
        <v>0</v>
      </c>
      <c r="Q35" s="40">
        <f>5703+10663</f>
        <v>16366</v>
      </c>
      <c r="R35" s="40">
        <f t="shared" si="0"/>
        <v>221116</v>
      </c>
      <c r="S35"/>
    </row>
    <row r="36" spans="1:19">
      <c r="A36" s="32">
        <v>30</v>
      </c>
      <c r="B36" s="44" t="s">
        <v>15</v>
      </c>
      <c r="C36" s="45">
        <v>39001</v>
      </c>
      <c r="D36" s="15">
        <v>38634</v>
      </c>
      <c r="E36" s="27">
        <v>2006</v>
      </c>
      <c r="F36" s="18">
        <v>19142</v>
      </c>
      <c r="G36" s="46" t="s">
        <v>120</v>
      </c>
      <c r="H36" s="46" t="s">
        <v>18</v>
      </c>
      <c r="I36" s="15">
        <v>230.5</v>
      </c>
      <c r="J36" s="47">
        <v>431</v>
      </c>
      <c r="K36" s="47">
        <v>49672.75</v>
      </c>
      <c r="L36" s="48">
        <v>0.25</v>
      </c>
      <c r="M36" s="15" t="s">
        <v>150</v>
      </c>
      <c r="N36" s="17">
        <v>99345.5</v>
      </c>
      <c r="O36" s="40">
        <f>K36*2</f>
        <v>99345.5</v>
      </c>
      <c r="P36" s="40">
        <v>0</v>
      </c>
      <c r="Q36" s="40">
        <v>0</v>
      </c>
      <c r="R36" s="40">
        <f t="shared" si="0"/>
        <v>198691</v>
      </c>
      <c r="S36"/>
    </row>
    <row r="37" spans="1:19">
      <c r="A37" s="32">
        <v>31</v>
      </c>
      <c r="B37" s="33" t="s">
        <v>56</v>
      </c>
      <c r="C37" s="34">
        <v>39029</v>
      </c>
      <c r="D37" s="27">
        <v>38661</v>
      </c>
      <c r="E37" s="27">
        <v>2006</v>
      </c>
      <c r="F37" s="32">
        <v>19157</v>
      </c>
      <c r="G37" s="35" t="s">
        <v>243</v>
      </c>
      <c r="H37" s="35" t="s">
        <v>64</v>
      </c>
      <c r="I37" s="27">
        <v>63</v>
      </c>
      <c r="J37" s="36">
        <v>261</v>
      </c>
      <c r="K37" s="36">
        <v>8221.5</v>
      </c>
      <c r="L37" s="37">
        <v>0.22500000000000001</v>
      </c>
      <c r="M37" s="15" t="s">
        <v>150</v>
      </c>
      <c r="N37" s="40">
        <v>16443</v>
      </c>
      <c r="O37" s="40">
        <f>8221.5+8221.5+16443</f>
        <v>32886</v>
      </c>
      <c r="P37" s="40">
        <v>0</v>
      </c>
      <c r="Q37" s="40">
        <v>0</v>
      </c>
      <c r="R37" s="40">
        <f t="shared" si="0"/>
        <v>49329</v>
      </c>
      <c r="S37"/>
    </row>
    <row r="38" spans="1:19">
      <c r="A38" s="32">
        <v>32</v>
      </c>
      <c r="B38" s="33" t="s">
        <v>56</v>
      </c>
      <c r="C38" s="34">
        <v>39029</v>
      </c>
      <c r="D38" s="27">
        <v>38662</v>
      </c>
      <c r="E38" s="27">
        <v>2006</v>
      </c>
      <c r="F38" s="32">
        <v>19158</v>
      </c>
      <c r="G38" s="35" t="s">
        <v>243</v>
      </c>
      <c r="H38" s="35" t="s">
        <v>64</v>
      </c>
      <c r="I38" s="27">
        <v>82</v>
      </c>
      <c r="J38" s="36">
        <v>261</v>
      </c>
      <c r="K38" s="36">
        <v>10701</v>
      </c>
      <c r="L38" s="37">
        <v>0.22500000000000001</v>
      </c>
      <c r="M38" s="15" t="s">
        <v>150</v>
      </c>
      <c r="N38" s="40">
        <v>21402</v>
      </c>
      <c r="O38" s="40">
        <f>10701+10407+21402</f>
        <v>42510</v>
      </c>
      <c r="P38" s="40">
        <v>0</v>
      </c>
      <c r="Q38" s="40">
        <v>0</v>
      </c>
      <c r="R38" s="40">
        <f t="shared" si="0"/>
        <v>63912</v>
      </c>
      <c r="S38"/>
    </row>
    <row r="39" spans="1:19">
      <c r="A39" s="32">
        <v>33</v>
      </c>
      <c r="B39" s="49" t="s">
        <v>61</v>
      </c>
      <c r="C39" s="45">
        <v>39029</v>
      </c>
      <c r="D39" s="15">
        <v>38713</v>
      </c>
      <c r="E39" s="27">
        <v>2006</v>
      </c>
      <c r="F39" s="18">
        <v>19178</v>
      </c>
      <c r="G39" s="57" t="s">
        <v>125</v>
      </c>
      <c r="H39" s="46" t="s">
        <v>65</v>
      </c>
      <c r="I39" s="15">
        <v>122.72</v>
      </c>
      <c r="J39" s="47">
        <v>565</v>
      </c>
      <c r="K39" s="47">
        <v>34668.400000000001</v>
      </c>
      <c r="L39" s="48">
        <v>0.255</v>
      </c>
      <c r="M39" s="15" t="s">
        <v>153</v>
      </c>
      <c r="N39" s="17">
        <v>69336.800000000003</v>
      </c>
      <c r="O39" s="40">
        <v>79100</v>
      </c>
      <c r="P39" s="40">
        <v>0</v>
      </c>
      <c r="Q39" s="40">
        <v>0</v>
      </c>
      <c r="R39" s="40">
        <f t="shared" ref="R39:R45" si="1">SUM(N39:Q39)</f>
        <v>148436.79999999999</v>
      </c>
      <c r="S39"/>
    </row>
    <row r="40" spans="1:19">
      <c r="A40" s="32">
        <v>34</v>
      </c>
      <c r="B40" s="49" t="s">
        <v>36</v>
      </c>
      <c r="C40" s="45">
        <v>39029</v>
      </c>
      <c r="D40" s="15">
        <v>38729</v>
      </c>
      <c r="E40" s="27">
        <v>2006</v>
      </c>
      <c r="F40" s="18">
        <v>19180</v>
      </c>
      <c r="G40" s="35" t="s">
        <v>243</v>
      </c>
      <c r="H40" s="35" t="s">
        <v>14</v>
      </c>
      <c r="I40" s="27">
        <v>1</v>
      </c>
      <c r="J40" s="36">
        <v>556</v>
      </c>
      <c r="K40" s="36">
        <v>278</v>
      </c>
      <c r="L40" s="37">
        <v>0.26500000000000001</v>
      </c>
      <c r="M40" s="15" t="s">
        <v>151</v>
      </c>
      <c r="N40" s="40">
        <v>556</v>
      </c>
      <c r="O40" s="17">
        <f>278+575.46</f>
        <v>853.46</v>
      </c>
      <c r="P40" s="17">
        <v>0</v>
      </c>
      <c r="Q40" s="17">
        <v>31.7</v>
      </c>
      <c r="R40" s="40">
        <f t="shared" si="1"/>
        <v>1441.16</v>
      </c>
      <c r="S40"/>
    </row>
    <row r="41" spans="1:19">
      <c r="A41" s="32">
        <v>35</v>
      </c>
      <c r="B41" s="49" t="s">
        <v>36</v>
      </c>
      <c r="C41" s="45">
        <v>39029</v>
      </c>
      <c r="D41" s="15">
        <v>38730</v>
      </c>
      <c r="E41" s="27">
        <v>2006</v>
      </c>
      <c r="F41" s="18">
        <v>19181</v>
      </c>
      <c r="G41" s="46" t="s">
        <v>126</v>
      </c>
      <c r="H41" s="46" t="s">
        <v>14</v>
      </c>
      <c r="I41" s="15">
        <v>8</v>
      </c>
      <c r="J41" s="47">
        <v>556</v>
      </c>
      <c r="K41" s="47">
        <v>2224</v>
      </c>
      <c r="L41" s="48">
        <v>0.26500000000000001</v>
      </c>
      <c r="M41" s="15" t="s">
        <v>151</v>
      </c>
      <c r="N41" s="17">
        <v>4448</v>
      </c>
      <c r="O41" s="40">
        <v>0</v>
      </c>
      <c r="P41" s="40">
        <v>209.03</v>
      </c>
      <c r="Q41" s="40">
        <v>30649.040000000001</v>
      </c>
      <c r="R41" s="40">
        <f t="shared" si="1"/>
        <v>35306.07</v>
      </c>
      <c r="S41"/>
    </row>
    <row r="42" spans="1:19">
      <c r="A42" s="32">
        <v>36</v>
      </c>
      <c r="B42" s="49" t="s">
        <v>36</v>
      </c>
      <c r="C42" s="45">
        <v>39029</v>
      </c>
      <c r="D42" s="15">
        <v>38731</v>
      </c>
      <c r="E42" s="27">
        <v>2006</v>
      </c>
      <c r="F42" s="18">
        <v>19182</v>
      </c>
      <c r="G42" s="46" t="s">
        <v>126</v>
      </c>
      <c r="H42" s="46" t="s">
        <v>14</v>
      </c>
      <c r="I42" s="15">
        <v>8</v>
      </c>
      <c r="J42" s="47">
        <v>556</v>
      </c>
      <c r="K42" s="47">
        <v>2224</v>
      </c>
      <c r="L42" s="48">
        <v>0.26500000000000001</v>
      </c>
      <c r="M42" s="15" t="s">
        <v>151</v>
      </c>
      <c r="N42" s="17">
        <v>4448</v>
      </c>
      <c r="O42" s="40">
        <v>0</v>
      </c>
      <c r="P42" s="40">
        <v>0</v>
      </c>
      <c r="Q42" s="40">
        <v>22107.84</v>
      </c>
      <c r="R42" s="40">
        <f t="shared" si="1"/>
        <v>26555.84</v>
      </c>
      <c r="S42"/>
    </row>
    <row r="43" spans="1:19">
      <c r="A43" s="32">
        <v>37</v>
      </c>
      <c r="B43" s="33" t="s">
        <v>15</v>
      </c>
      <c r="C43" s="34">
        <v>39064</v>
      </c>
      <c r="D43" s="27">
        <v>38743</v>
      </c>
      <c r="E43" s="27">
        <v>2006</v>
      </c>
      <c r="F43" s="32">
        <v>19193</v>
      </c>
      <c r="G43" s="35" t="s">
        <v>243</v>
      </c>
      <c r="H43" s="35" t="s">
        <v>66</v>
      </c>
      <c r="I43" s="27">
        <v>3</v>
      </c>
      <c r="J43" s="36">
        <v>355</v>
      </c>
      <c r="K43" s="36">
        <v>532.5</v>
      </c>
      <c r="L43" s="37">
        <v>0.2525</v>
      </c>
      <c r="M43" s="15" t="s">
        <v>151</v>
      </c>
      <c r="N43" s="40">
        <v>1065</v>
      </c>
      <c r="O43" s="40">
        <v>0</v>
      </c>
      <c r="P43" s="17">
        <v>48.81</v>
      </c>
      <c r="Q43" s="17">
        <v>950.33</v>
      </c>
      <c r="R43" s="40">
        <f t="shared" si="1"/>
        <v>2064.14</v>
      </c>
      <c r="S43"/>
    </row>
    <row r="44" spans="1:19">
      <c r="A44" s="32">
        <v>38</v>
      </c>
      <c r="B44" s="33" t="s">
        <v>17</v>
      </c>
      <c r="C44" s="34">
        <v>39064</v>
      </c>
      <c r="D44" s="27">
        <v>38797</v>
      </c>
      <c r="E44" s="27">
        <v>2006</v>
      </c>
      <c r="F44" s="32">
        <v>19225</v>
      </c>
      <c r="G44" s="35" t="s">
        <v>243</v>
      </c>
      <c r="H44" s="35" t="s">
        <v>37</v>
      </c>
      <c r="I44" s="27">
        <v>80</v>
      </c>
      <c r="J44" s="36">
        <v>200</v>
      </c>
      <c r="K44" s="36">
        <v>8000</v>
      </c>
      <c r="L44" s="37">
        <v>0.22500000000000001</v>
      </c>
      <c r="M44" s="15" t="s">
        <v>150</v>
      </c>
      <c r="N44" s="40">
        <v>16000</v>
      </c>
      <c r="O44" s="40">
        <f>8000+8000</f>
        <v>16000</v>
      </c>
      <c r="P44" s="40">
        <v>0</v>
      </c>
      <c r="Q44" s="40">
        <v>0</v>
      </c>
      <c r="R44" s="40">
        <f t="shared" si="1"/>
        <v>32000</v>
      </c>
      <c r="S44"/>
    </row>
    <row r="45" spans="1:19" ht="17.25">
      <c r="A45" s="32">
        <v>39</v>
      </c>
      <c r="B45" s="33" t="s">
        <v>29</v>
      </c>
      <c r="C45" s="34">
        <v>39064</v>
      </c>
      <c r="D45" s="27">
        <v>38803</v>
      </c>
      <c r="E45" s="27">
        <v>2006</v>
      </c>
      <c r="F45" s="32">
        <v>19228</v>
      </c>
      <c r="G45" s="35" t="s">
        <v>243</v>
      </c>
      <c r="H45" s="35" t="s">
        <v>68</v>
      </c>
      <c r="I45" s="27">
        <v>79.930000000000007</v>
      </c>
      <c r="J45" s="36">
        <v>100</v>
      </c>
      <c r="K45" s="36">
        <v>3996.5</v>
      </c>
      <c r="L45" s="37">
        <v>0.215</v>
      </c>
      <c r="M45" s="15" t="s">
        <v>150</v>
      </c>
      <c r="N45" s="51">
        <v>7993</v>
      </c>
      <c r="O45" s="51">
        <v>193</v>
      </c>
      <c r="P45" s="51">
        <v>0</v>
      </c>
      <c r="Q45" s="51">
        <v>0</v>
      </c>
      <c r="R45" s="51">
        <f t="shared" si="1"/>
        <v>8186</v>
      </c>
      <c r="S45"/>
    </row>
    <row r="46" spans="1:19">
      <c r="M46" s="22" t="s">
        <v>253</v>
      </c>
      <c r="N46" s="23">
        <f>SUM(N7:N45)</f>
        <v>1129896.98</v>
      </c>
      <c r="O46" s="24">
        <f>SUM(O7:O45)</f>
        <v>639993.07999999996</v>
      </c>
      <c r="P46" s="24">
        <f>SUM(P7:P45)</f>
        <v>4477.8900000000003</v>
      </c>
      <c r="Q46" s="24">
        <f>SUM(Q7:Q45)</f>
        <v>1090323.9400000002</v>
      </c>
      <c r="R46" s="24">
        <f>SUM(R7:R45)</f>
        <v>2864691.8899999997</v>
      </c>
      <c r="S46"/>
    </row>
  </sheetData>
  <autoFilter ref="B6:S45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4" fitToHeight="23"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/>
  </sheetViews>
  <sheetFormatPr defaultRowHeight="15"/>
  <cols>
    <col min="1" max="1" width="5.42578125" customWidth="1"/>
    <col min="2" max="2" width="17.5703125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30" bestFit="1" customWidth="1"/>
    <col min="8" max="8" width="43.710937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255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44" t="s">
        <v>15</v>
      </c>
      <c r="C7" s="45">
        <v>39092</v>
      </c>
      <c r="D7" s="15">
        <v>38842</v>
      </c>
      <c r="E7" s="15">
        <v>2007</v>
      </c>
      <c r="F7" s="18">
        <v>19251</v>
      </c>
      <c r="G7" s="46" t="s">
        <v>127</v>
      </c>
      <c r="H7" s="46" t="s">
        <v>18</v>
      </c>
      <c r="I7" s="15">
        <v>20</v>
      </c>
      <c r="J7" s="47">
        <v>375</v>
      </c>
      <c r="K7" s="47">
        <v>3750</v>
      </c>
      <c r="L7" s="48">
        <v>0.2525</v>
      </c>
      <c r="M7" s="15" t="s">
        <v>150</v>
      </c>
      <c r="N7" s="16">
        <v>7500</v>
      </c>
      <c r="O7" s="38">
        <v>0</v>
      </c>
      <c r="P7" s="38">
        <v>0</v>
      </c>
      <c r="Q7" s="38">
        <v>0</v>
      </c>
      <c r="R7" s="38">
        <f t="shared" ref="R7:R40" si="0">SUM(N7:Q7)</f>
        <v>7500</v>
      </c>
      <c r="S7"/>
    </row>
    <row r="8" spans="1:19">
      <c r="A8" s="32">
        <v>2</v>
      </c>
      <c r="B8" s="39" t="s">
        <v>36</v>
      </c>
      <c r="C8" s="34">
        <v>39127</v>
      </c>
      <c r="D8" s="27">
        <v>38870</v>
      </c>
      <c r="E8" s="15">
        <v>2007</v>
      </c>
      <c r="F8" s="32">
        <v>19274</v>
      </c>
      <c r="G8" s="35" t="s">
        <v>243</v>
      </c>
      <c r="H8" s="35" t="s">
        <v>70</v>
      </c>
      <c r="I8" s="27">
        <v>59</v>
      </c>
      <c r="J8" s="36">
        <v>333</v>
      </c>
      <c r="K8" s="36">
        <v>9823.5</v>
      </c>
      <c r="L8" s="37">
        <v>0.25</v>
      </c>
      <c r="M8" s="15" t="s">
        <v>150</v>
      </c>
      <c r="N8" s="40">
        <v>19647</v>
      </c>
      <c r="O8" s="40">
        <v>0</v>
      </c>
      <c r="P8" s="40">
        <v>0</v>
      </c>
      <c r="Q8" s="40">
        <v>0</v>
      </c>
      <c r="R8" s="40">
        <f t="shared" si="0"/>
        <v>19647</v>
      </c>
      <c r="S8"/>
    </row>
    <row r="9" spans="1:19">
      <c r="A9" s="32">
        <v>3</v>
      </c>
      <c r="B9" s="44" t="s">
        <v>9</v>
      </c>
      <c r="C9" s="45">
        <v>39127</v>
      </c>
      <c r="D9" s="15">
        <v>38907</v>
      </c>
      <c r="E9" s="15">
        <v>2007</v>
      </c>
      <c r="F9" s="18">
        <v>19291</v>
      </c>
      <c r="G9" s="46" t="s">
        <v>121</v>
      </c>
      <c r="H9" s="46" t="s">
        <v>67</v>
      </c>
      <c r="I9" s="15">
        <v>55.975000000000001</v>
      </c>
      <c r="J9" s="47">
        <v>333</v>
      </c>
      <c r="K9" s="47">
        <v>9319.84</v>
      </c>
      <c r="L9" s="48">
        <v>0.25</v>
      </c>
      <c r="M9" s="15" t="s">
        <v>150</v>
      </c>
      <c r="N9" s="17">
        <v>18639.68</v>
      </c>
      <c r="O9" s="40">
        <v>9319.84</v>
      </c>
      <c r="P9" s="40">
        <v>0</v>
      </c>
      <c r="Q9" s="40">
        <v>0</v>
      </c>
      <c r="R9" s="40">
        <f t="shared" si="0"/>
        <v>27959.52</v>
      </c>
      <c r="S9"/>
    </row>
    <row r="10" spans="1:19">
      <c r="A10" s="32">
        <v>4</v>
      </c>
      <c r="B10" s="33" t="s">
        <v>17</v>
      </c>
      <c r="C10" s="34">
        <v>39127</v>
      </c>
      <c r="D10" s="27">
        <v>38910</v>
      </c>
      <c r="E10" s="15">
        <v>2007</v>
      </c>
      <c r="F10" s="32">
        <v>19294</v>
      </c>
      <c r="G10" s="35" t="s">
        <v>243</v>
      </c>
      <c r="H10" s="35" t="s">
        <v>71</v>
      </c>
      <c r="I10" s="27">
        <v>40</v>
      </c>
      <c r="J10" s="36">
        <v>152</v>
      </c>
      <c r="K10" s="36">
        <v>3040</v>
      </c>
      <c r="L10" s="37">
        <v>0.19</v>
      </c>
      <c r="M10" s="15" t="s">
        <v>150</v>
      </c>
      <c r="N10" s="40">
        <v>6080</v>
      </c>
      <c r="O10" s="40">
        <f>3040+3040+3040-3040</f>
        <v>6080</v>
      </c>
      <c r="P10" s="40">
        <v>0</v>
      </c>
      <c r="Q10" s="40">
        <v>0</v>
      </c>
      <c r="R10" s="40">
        <f t="shared" si="0"/>
        <v>12160</v>
      </c>
      <c r="S10"/>
    </row>
    <row r="11" spans="1:19">
      <c r="A11" s="32">
        <v>5</v>
      </c>
      <c r="B11" s="33" t="s">
        <v>15</v>
      </c>
      <c r="C11" s="34">
        <v>39127</v>
      </c>
      <c r="D11" s="27">
        <v>38911</v>
      </c>
      <c r="E11" s="15">
        <v>2007</v>
      </c>
      <c r="F11" s="32">
        <v>19295</v>
      </c>
      <c r="G11" s="35" t="s">
        <v>243</v>
      </c>
      <c r="H11" s="35" t="s">
        <v>13</v>
      </c>
      <c r="I11" s="27">
        <v>320</v>
      </c>
      <c r="J11" s="36">
        <v>352</v>
      </c>
      <c r="K11" s="36">
        <v>56320</v>
      </c>
      <c r="L11" s="37">
        <v>0.255</v>
      </c>
      <c r="M11" s="15" t="s">
        <v>151</v>
      </c>
      <c r="N11" s="40">
        <v>112640</v>
      </c>
      <c r="O11" s="40">
        <f>56320+56320</f>
        <v>112640</v>
      </c>
      <c r="P11" s="17">
        <v>0</v>
      </c>
      <c r="Q11" s="17">
        <v>847173.56</v>
      </c>
      <c r="R11" s="40">
        <f t="shared" si="0"/>
        <v>1072453.56</v>
      </c>
      <c r="S11"/>
    </row>
    <row r="12" spans="1:19">
      <c r="A12" s="32">
        <v>6</v>
      </c>
      <c r="B12" s="39" t="s">
        <v>11</v>
      </c>
      <c r="C12" s="34">
        <v>39155</v>
      </c>
      <c r="D12" s="27">
        <v>38917</v>
      </c>
      <c r="E12" s="15">
        <v>2007</v>
      </c>
      <c r="F12" s="32">
        <v>19304</v>
      </c>
      <c r="G12" s="35" t="s">
        <v>243</v>
      </c>
      <c r="H12" s="35" t="s">
        <v>18</v>
      </c>
      <c r="I12" s="27">
        <v>349</v>
      </c>
      <c r="J12" s="36">
        <v>452</v>
      </c>
      <c r="K12" s="36">
        <v>78874</v>
      </c>
      <c r="L12" s="37">
        <v>0.25</v>
      </c>
      <c r="M12" s="15" t="s">
        <v>150</v>
      </c>
      <c r="N12" s="40">
        <v>157748</v>
      </c>
      <c r="O12" s="40">
        <f>78874+78874</f>
        <v>157748</v>
      </c>
      <c r="P12" s="40">
        <v>0</v>
      </c>
      <c r="Q12" s="40">
        <v>0</v>
      </c>
      <c r="R12" s="40">
        <f t="shared" si="0"/>
        <v>315496</v>
      </c>
      <c r="S12"/>
    </row>
    <row r="13" spans="1:19">
      <c r="A13" s="32">
        <v>7</v>
      </c>
      <c r="B13" s="39" t="s">
        <v>11</v>
      </c>
      <c r="C13" s="34">
        <v>39155</v>
      </c>
      <c r="D13" s="27">
        <v>38918</v>
      </c>
      <c r="E13" s="15">
        <v>2007</v>
      </c>
      <c r="F13" s="32">
        <v>19305</v>
      </c>
      <c r="G13" s="35" t="s">
        <v>243</v>
      </c>
      <c r="H13" s="35" t="s">
        <v>72</v>
      </c>
      <c r="I13" s="27">
        <v>401</v>
      </c>
      <c r="J13" s="36">
        <v>652.5</v>
      </c>
      <c r="K13" s="36">
        <v>130826</v>
      </c>
      <c r="L13" s="37">
        <v>0.26</v>
      </c>
      <c r="M13" s="15" t="s">
        <v>150</v>
      </c>
      <c r="N13" s="40">
        <v>261652</v>
      </c>
      <c r="O13" s="40">
        <v>130826</v>
      </c>
      <c r="P13" s="40">
        <v>0</v>
      </c>
      <c r="Q13" s="40">
        <v>0</v>
      </c>
      <c r="R13" s="40">
        <f t="shared" si="0"/>
        <v>392478</v>
      </c>
      <c r="S13"/>
    </row>
    <row r="14" spans="1:19">
      <c r="A14" s="32">
        <v>8</v>
      </c>
      <c r="B14" s="33" t="s">
        <v>15</v>
      </c>
      <c r="C14" s="34">
        <v>39155</v>
      </c>
      <c r="D14" s="27">
        <v>38919</v>
      </c>
      <c r="E14" s="15">
        <v>2007</v>
      </c>
      <c r="F14" s="32">
        <v>19306</v>
      </c>
      <c r="G14" s="35" t="s">
        <v>243</v>
      </c>
      <c r="H14" s="55" t="s">
        <v>73</v>
      </c>
      <c r="I14" s="27">
        <v>50.140999999999998</v>
      </c>
      <c r="J14" s="36">
        <v>2208</v>
      </c>
      <c r="K14" s="36">
        <v>55200</v>
      </c>
      <c r="L14" s="37">
        <v>0.25</v>
      </c>
      <c r="M14" s="15" t="s">
        <v>151</v>
      </c>
      <c r="N14" s="40">
        <v>110400</v>
      </c>
      <c r="O14" s="40">
        <v>0</v>
      </c>
      <c r="P14" s="17">
        <v>3689.74</v>
      </c>
      <c r="Q14" s="17">
        <v>64421.84</v>
      </c>
      <c r="R14" s="40">
        <f t="shared" si="0"/>
        <v>178511.58000000002</v>
      </c>
      <c r="S14"/>
    </row>
    <row r="15" spans="1:19">
      <c r="A15" s="32">
        <v>9</v>
      </c>
      <c r="B15" s="44" t="s">
        <v>9</v>
      </c>
      <c r="C15" s="45">
        <v>39155</v>
      </c>
      <c r="D15" s="15">
        <v>38932</v>
      </c>
      <c r="E15" s="15">
        <v>2007</v>
      </c>
      <c r="F15" s="18">
        <v>19318</v>
      </c>
      <c r="G15" s="46" t="s">
        <v>121</v>
      </c>
      <c r="H15" s="46" t="s">
        <v>74</v>
      </c>
      <c r="I15" s="15">
        <v>4.9249999999999998</v>
      </c>
      <c r="J15" s="47">
        <v>423</v>
      </c>
      <c r="K15" s="47">
        <v>1041.6400000000001</v>
      </c>
      <c r="L15" s="48">
        <v>0.25</v>
      </c>
      <c r="M15" s="15" t="s">
        <v>150</v>
      </c>
      <c r="N15" s="17">
        <v>2083.2800000000002</v>
      </c>
      <c r="O15" s="40">
        <f>1041.64+1041.64</f>
        <v>2083.2800000000002</v>
      </c>
      <c r="P15" s="40">
        <v>0</v>
      </c>
      <c r="Q15" s="40">
        <v>0</v>
      </c>
      <c r="R15" s="40">
        <f t="shared" si="0"/>
        <v>4166.5600000000004</v>
      </c>
      <c r="S15"/>
    </row>
    <row r="16" spans="1:19">
      <c r="A16" s="32">
        <v>10</v>
      </c>
      <c r="B16" s="44" t="s">
        <v>9</v>
      </c>
      <c r="C16" s="45">
        <v>39183</v>
      </c>
      <c r="D16" s="15">
        <v>39004</v>
      </c>
      <c r="E16" s="15">
        <v>2007</v>
      </c>
      <c r="F16" s="18">
        <v>19343</v>
      </c>
      <c r="G16" s="46" t="s">
        <v>128</v>
      </c>
      <c r="H16" s="46" t="s">
        <v>13</v>
      </c>
      <c r="I16" s="15">
        <v>4</v>
      </c>
      <c r="J16" s="47">
        <v>175</v>
      </c>
      <c r="K16" s="47">
        <v>350</v>
      </c>
      <c r="L16" s="48">
        <v>0.25</v>
      </c>
      <c r="M16" s="15" t="s">
        <v>153</v>
      </c>
      <c r="N16" s="17">
        <v>700</v>
      </c>
      <c r="O16" s="40">
        <v>700</v>
      </c>
      <c r="P16" s="40">
        <v>0</v>
      </c>
      <c r="Q16" s="40">
        <v>0</v>
      </c>
      <c r="R16" s="40">
        <f t="shared" si="0"/>
        <v>1400</v>
      </c>
      <c r="S16"/>
    </row>
    <row r="17" spans="1:19">
      <c r="A17" s="32">
        <v>11</v>
      </c>
      <c r="B17" s="44" t="s">
        <v>9</v>
      </c>
      <c r="C17" s="45">
        <v>39183</v>
      </c>
      <c r="D17" s="15">
        <v>39005</v>
      </c>
      <c r="E17" s="15">
        <v>2007</v>
      </c>
      <c r="F17" s="18">
        <v>19344</v>
      </c>
      <c r="G17" s="46" t="s">
        <v>128</v>
      </c>
      <c r="H17" s="46" t="s">
        <v>13</v>
      </c>
      <c r="I17" s="15">
        <v>33</v>
      </c>
      <c r="J17" s="47">
        <v>175</v>
      </c>
      <c r="K17" s="47">
        <v>2887.5</v>
      </c>
      <c r="L17" s="48">
        <v>0.25</v>
      </c>
      <c r="M17" s="15" t="s">
        <v>153</v>
      </c>
      <c r="N17" s="17">
        <v>5775</v>
      </c>
      <c r="O17" s="40">
        <v>5775</v>
      </c>
      <c r="P17" s="40">
        <v>0</v>
      </c>
      <c r="Q17" s="40">
        <v>0</v>
      </c>
      <c r="R17" s="40">
        <f t="shared" si="0"/>
        <v>11550</v>
      </c>
      <c r="S17"/>
    </row>
    <row r="18" spans="1:19">
      <c r="A18" s="32">
        <v>12</v>
      </c>
      <c r="B18" s="33" t="s">
        <v>15</v>
      </c>
      <c r="C18" s="34">
        <v>39211</v>
      </c>
      <c r="D18" s="27">
        <v>39007</v>
      </c>
      <c r="E18" s="15">
        <v>2007</v>
      </c>
      <c r="F18" s="32">
        <v>19348</v>
      </c>
      <c r="G18" s="35" t="s">
        <v>243</v>
      </c>
      <c r="H18" s="35" t="s">
        <v>13</v>
      </c>
      <c r="I18" s="27">
        <v>133</v>
      </c>
      <c r="J18" s="36">
        <v>1100</v>
      </c>
      <c r="K18" s="36">
        <v>73150</v>
      </c>
      <c r="L18" s="37">
        <v>0.125</v>
      </c>
      <c r="M18" s="15" t="s">
        <v>150</v>
      </c>
      <c r="N18" s="40">
        <v>146300</v>
      </c>
      <c r="O18" s="40">
        <v>73150</v>
      </c>
      <c r="P18" s="40">
        <v>0</v>
      </c>
      <c r="Q18" s="40">
        <v>0</v>
      </c>
      <c r="R18" s="40">
        <f t="shared" si="0"/>
        <v>219450</v>
      </c>
      <c r="S18"/>
    </row>
    <row r="19" spans="1:19">
      <c r="A19" s="32">
        <v>13</v>
      </c>
      <c r="B19" s="39" t="s">
        <v>11</v>
      </c>
      <c r="C19" s="34">
        <v>39211</v>
      </c>
      <c r="D19" s="27">
        <v>39008</v>
      </c>
      <c r="E19" s="15">
        <v>2007</v>
      </c>
      <c r="F19" s="32">
        <v>19349</v>
      </c>
      <c r="G19" s="35" t="s">
        <v>243</v>
      </c>
      <c r="H19" s="35" t="s">
        <v>75</v>
      </c>
      <c r="I19" s="27">
        <v>326</v>
      </c>
      <c r="J19" s="36">
        <v>210</v>
      </c>
      <c r="K19" s="36">
        <v>34230</v>
      </c>
      <c r="L19" s="37">
        <v>0.22</v>
      </c>
      <c r="M19" s="15" t="s">
        <v>151</v>
      </c>
      <c r="N19" s="40">
        <v>68460</v>
      </c>
      <c r="O19" s="40">
        <f>34230-34230+34230+34230+21522.06</f>
        <v>89982.06</v>
      </c>
      <c r="P19" s="17">
        <v>5403.94</v>
      </c>
      <c r="Q19" s="17">
        <v>197070.58</v>
      </c>
      <c r="R19" s="40">
        <f t="shared" si="0"/>
        <v>360916.57999999996</v>
      </c>
      <c r="S19"/>
    </row>
    <row r="20" spans="1:19">
      <c r="A20" s="32">
        <v>14</v>
      </c>
      <c r="B20" s="39" t="s">
        <v>36</v>
      </c>
      <c r="C20" s="34">
        <v>39211</v>
      </c>
      <c r="D20" s="27">
        <v>39009</v>
      </c>
      <c r="E20" s="15">
        <v>2007</v>
      </c>
      <c r="F20" s="32">
        <v>19350</v>
      </c>
      <c r="G20" s="35" t="s">
        <v>243</v>
      </c>
      <c r="H20" s="35" t="s">
        <v>48</v>
      </c>
      <c r="I20" s="27">
        <v>18</v>
      </c>
      <c r="J20" s="36">
        <v>225</v>
      </c>
      <c r="K20" s="36">
        <v>2025</v>
      </c>
      <c r="L20" s="37">
        <v>0.21</v>
      </c>
      <c r="M20" s="15" t="s">
        <v>150</v>
      </c>
      <c r="N20" s="40">
        <v>4050</v>
      </c>
      <c r="O20" s="40">
        <f>2025+2025</f>
        <v>4050</v>
      </c>
      <c r="P20" s="40">
        <v>0</v>
      </c>
      <c r="Q20" s="40">
        <v>0</v>
      </c>
      <c r="R20" s="40">
        <f t="shared" si="0"/>
        <v>8100</v>
      </c>
      <c r="S20"/>
    </row>
    <row r="21" spans="1:19">
      <c r="A21" s="32">
        <v>15</v>
      </c>
      <c r="B21" s="33" t="s">
        <v>19</v>
      </c>
      <c r="C21" s="34">
        <v>39211</v>
      </c>
      <c r="D21" s="27">
        <v>39010</v>
      </c>
      <c r="E21" s="15">
        <v>2007</v>
      </c>
      <c r="F21" s="32">
        <v>19351</v>
      </c>
      <c r="G21" s="35" t="s">
        <v>243</v>
      </c>
      <c r="H21" s="35" t="s">
        <v>48</v>
      </c>
      <c r="I21" s="27">
        <v>2.3199999999999998</v>
      </c>
      <c r="J21" s="36">
        <v>225</v>
      </c>
      <c r="K21" s="36">
        <v>261</v>
      </c>
      <c r="L21" s="37">
        <v>0.21</v>
      </c>
      <c r="M21" s="15" t="s">
        <v>150</v>
      </c>
      <c r="N21" s="40">
        <v>522</v>
      </c>
      <c r="O21" s="40">
        <f>261+261</f>
        <v>522</v>
      </c>
      <c r="P21" s="17">
        <v>0</v>
      </c>
      <c r="Q21" s="17">
        <v>1884.47</v>
      </c>
      <c r="R21" s="40">
        <f t="shared" si="0"/>
        <v>2928.4700000000003</v>
      </c>
      <c r="S21"/>
    </row>
    <row r="22" spans="1:19">
      <c r="A22" s="32">
        <v>16</v>
      </c>
      <c r="B22" s="33" t="s">
        <v>19</v>
      </c>
      <c r="C22" s="34">
        <v>39246</v>
      </c>
      <c r="D22" s="27">
        <v>39097</v>
      </c>
      <c r="E22" s="15">
        <v>2007</v>
      </c>
      <c r="F22" s="32">
        <v>19398</v>
      </c>
      <c r="G22" s="35" t="s">
        <v>243</v>
      </c>
      <c r="H22" s="35" t="s">
        <v>76</v>
      </c>
      <c r="I22" s="27">
        <v>12</v>
      </c>
      <c r="J22" s="36">
        <v>194.5</v>
      </c>
      <c r="K22" s="36">
        <v>0</v>
      </c>
      <c r="L22" s="37">
        <v>0.25</v>
      </c>
      <c r="M22" s="15" t="s">
        <v>151</v>
      </c>
      <c r="N22" s="40">
        <v>2334</v>
      </c>
      <c r="O22" s="40">
        <v>0</v>
      </c>
      <c r="P22" s="17">
        <v>5.79</v>
      </c>
      <c r="Q22" s="17">
        <v>11189.4</v>
      </c>
      <c r="R22" s="40">
        <f t="shared" si="0"/>
        <v>13529.189999999999</v>
      </c>
      <c r="S22"/>
    </row>
    <row r="23" spans="1:19">
      <c r="A23" s="32">
        <v>17</v>
      </c>
      <c r="B23" s="44" t="s">
        <v>15</v>
      </c>
      <c r="C23" s="45">
        <v>39246</v>
      </c>
      <c r="D23" s="15">
        <v>39168</v>
      </c>
      <c r="E23" s="15">
        <v>2007</v>
      </c>
      <c r="F23" s="18">
        <v>19419</v>
      </c>
      <c r="G23" s="46" t="s">
        <v>124</v>
      </c>
      <c r="H23" s="46" t="s">
        <v>48</v>
      </c>
      <c r="I23" s="15">
        <v>1</v>
      </c>
      <c r="J23" s="47">
        <v>150</v>
      </c>
      <c r="K23" s="47">
        <v>75</v>
      </c>
      <c r="L23" s="48">
        <v>0.2</v>
      </c>
      <c r="M23" s="15" t="s">
        <v>150</v>
      </c>
      <c r="N23" s="17">
        <v>150</v>
      </c>
      <c r="O23" s="40">
        <v>0</v>
      </c>
      <c r="P23" s="40">
        <v>0</v>
      </c>
      <c r="Q23" s="40">
        <v>0</v>
      </c>
      <c r="R23" s="40">
        <f t="shared" si="0"/>
        <v>150</v>
      </c>
      <c r="S23"/>
    </row>
    <row r="24" spans="1:19">
      <c r="A24" s="32">
        <v>18</v>
      </c>
      <c r="B24" s="33" t="s">
        <v>15</v>
      </c>
      <c r="C24" s="34">
        <v>39274</v>
      </c>
      <c r="D24" s="27">
        <v>39198</v>
      </c>
      <c r="E24" s="15">
        <v>2007</v>
      </c>
      <c r="F24" s="32">
        <v>19434</v>
      </c>
      <c r="G24" s="35" t="s">
        <v>243</v>
      </c>
      <c r="H24" s="35" t="s">
        <v>77</v>
      </c>
      <c r="I24" s="27">
        <v>10</v>
      </c>
      <c r="J24" s="36">
        <v>300</v>
      </c>
      <c r="K24" s="36">
        <v>1500</v>
      </c>
      <c r="L24" s="37">
        <v>0.25</v>
      </c>
      <c r="M24" s="15" t="s">
        <v>150</v>
      </c>
      <c r="N24" s="40">
        <v>3000</v>
      </c>
      <c r="O24" s="40">
        <f>1500+1500</f>
        <v>3000</v>
      </c>
      <c r="P24" s="40">
        <v>0</v>
      </c>
      <c r="Q24" s="40">
        <v>0</v>
      </c>
      <c r="R24" s="40">
        <f t="shared" si="0"/>
        <v>6000</v>
      </c>
      <c r="S24"/>
    </row>
    <row r="25" spans="1:19">
      <c r="A25" s="32">
        <v>19</v>
      </c>
      <c r="B25" s="33" t="s">
        <v>15</v>
      </c>
      <c r="C25" s="34">
        <v>39274</v>
      </c>
      <c r="D25" s="27">
        <v>39199</v>
      </c>
      <c r="E25" s="15">
        <v>2007</v>
      </c>
      <c r="F25" s="32">
        <v>19435</v>
      </c>
      <c r="G25" s="35" t="s">
        <v>243</v>
      </c>
      <c r="H25" s="35" t="s">
        <v>77</v>
      </c>
      <c r="I25" s="27">
        <v>52</v>
      </c>
      <c r="J25" s="36">
        <v>1050</v>
      </c>
      <c r="K25" s="36">
        <v>27300</v>
      </c>
      <c r="L25" s="37">
        <v>0.25</v>
      </c>
      <c r="M25" s="15" t="s">
        <v>151</v>
      </c>
      <c r="N25" s="40">
        <v>54600</v>
      </c>
      <c r="O25" s="40">
        <f>27300+27300</f>
        <v>54600</v>
      </c>
      <c r="P25" s="17">
        <v>6269.03</v>
      </c>
      <c r="Q25" s="17">
        <v>215811.26</v>
      </c>
      <c r="R25" s="40">
        <f t="shared" si="0"/>
        <v>331280.29000000004</v>
      </c>
      <c r="S25"/>
    </row>
    <row r="26" spans="1:19">
      <c r="A26" s="32">
        <v>20</v>
      </c>
      <c r="B26" s="39" t="s">
        <v>11</v>
      </c>
      <c r="C26" s="34">
        <v>39274</v>
      </c>
      <c r="D26" s="27">
        <v>39200</v>
      </c>
      <c r="E26" s="15">
        <v>2007</v>
      </c>
      <c r="F26" s="32">
        <v>19436</v>
      </c>
      <c r="G26" s="35" t="s">
        <v>243</v>
      </c>
      <c r="H26" s="35" t="s">
        <v>13</v>
      </c>
      <c r="I26" s="27">
        <v>80</v>
      </c>
      <c r="J26" s="36">
        <v>405</v>
      </c>
      <c r="K26" s="36">
        <v>16200</v>
      </c>
      <c r="L26" s="37">
        <v>0.2525</v>
      </c>
      <c r="M26" s="15" t="s">
        <v>150</v>
      </c>
      <c r="N26" s="40">
        <v>32400</v>
      </c>
      <c r="O26" s="40">
        <v>0</v>
      </c>
      <c r="P26" s="40">
        <v>0</v>
      </c>
      <c r="Q26" s="40">
        <v>0</v>
      </c>
      <c r="R26" s="40">
        <f t="shared" si="0"/>
        <v>32400</v>
      </c>
      <c r="S26"/>
    </row>
    <row r="27" spans="1:19">
      <c r="A27" s="32">
        <v>21</v>
      </c>
      <c r="B27" s="44" t="s">
        <v>15</v>
      </c>
      <c r="C27" s="45">
        <v>39274</v>
      </c>
      <c r="D27" s="15">
        <v>39264</v>
      </c>
      <c r="E27" s="15">
        <v>2007</v>
      </c>
      <c r="F27" s="18">
        <v>19452</v>
      </c>
      <c r="G27" s="46" t="s">
        <v>120</v>
      </c>
      <c r="H27" s="46" t="s">
        <v>48</v>
      </c>
      <c r="I27" s="15">
        <v>4.95</v>
      </c>
      <c r="J27" s="47">
        <v>250</v>
      </c>
      <c r="K27" s="47">
        <v>618.75</v>
      </c>
      <c r="L27" s="48">
        <v>0.25</v>
      </c>
      <c r="M27" s="15" t="s">
        <v>150</v>
      </c>
      <c r="N27" s="17">
        <v>1237.5</v>
      </c>
      <c r="O27" s="40">
        <f>K27*2</f>
        <v>1237.5</v>
      </c>
      <c r="P27" s="40">
        <v>0</v>
      </c>
      <c r="Q27" s="40">
        <v>0</v>
      </c>
      <c r="R27" s="40">
        <f t="shared" si="0"/>
        <v>2475</v>
      </c>
      <c r="S27"/>
    </row>
    <row r="28" spans="1:19">
      <c r="A28" s="32">
        <v>22</v>
      </c>
      <c r="B28" s="39" t="s">
        <v>61</v>
      </c>
      <c r="C28" s="34">
        <v>39302</v>
      </c>
      <c r="D28" s="27">
        <v>39287</v>
      </c>
      <c r="E28" s="15">
        <v>2007</v>
      </c>
      <c r="F28" s="32">
        <v>19459</v>
      </c>
      <c r="G28" s="35" t="s">
        <v>243</v>
      </c>
      <c r="H28" s="35" t="s">
        <v>79</v>
      </c>
      <c r="I28" s="27">
        <v>196</v>
      </c>
      <c r="J28" s="36">
        <v>378</v>
      </c>
      <c r="K28" s="36">
        <v>37044</v>
      </c>
      <c r="L28" s="37">
        <v>0.25</v>
      </c>
      <c r="M28" s="15" t="s">
        <v>151</v>
      </c>
      <c r="N28" s="40">
        <v>74088</v>
      </c>
      <c r="O28" s="40">
        <f>37044+740.88+500</f>
        <v>38284.879999999997</v>
      </c>
      <c r="P28" s="17">
        <v>0.75</v>
      </c>
      <c r="Q28" s="17">
        <v>17.3</v>
      </c>
      <c r="R28" s="40">
        <f t="shared" si="0"/>
        <v>112390.93000000001</v>
      </c>
      <c r="S28"/>
    </row>
    <row r="29" spans="1:19">
      <c r="A29" s="32">
        <v>23</v>
      </c>
      <c r="B29" s="33" t="s">
        <v>19</v>
      </c>
      <c r="C29" s="34">
        <v>39302</v>
      </c>
      <c r="D29" s="27">
        <v>39288</v>
      </c>
      <c r="E29" s="15">
        <v>2007</v>
      </c>
      <c r="F29" s="32">
        <v>19460</v>
      </c>
      <c r="G29" s="35" t="s">
        <v>243</v>
      </c>
      <c r="H29" s="35" t="s">
        <v>76</v>
      </c>
      <c r="I29" s="27">
        <v>11.395</v>
      </c>
      <c r="J29" s="36">
        <v>200</v>
      </c>
      <c r="K29" s="36">
        <v>0</v>
      </c>
      <c r="L29" s="37">
        <v>0.25</v>
      </c>
      <c r="M29" s="15" t="s">
        <v>151</v>
      </c>
      <c r="N29" s="40">
        <v>1400</v>
      </c>
      <c r="O29" s="40">
        <v>0</v>
      </c>
      <c r="P29" s="17">
        <v>46.93</v>
      </c>
      <c r="Q29" s="17">
        <v>27947.43</v>
      </c>
      <c r="R29" s="40">
        <f t="shared" si="0"/>
        <v>29394.36</v>
      </c>
      <c r="S29"/>
    </row>
    <row r="30" spans="1:19">
      <c r="A30" s="32">
        <v>24</v>
      </c>
      <c r="B30" s="44" t="s">
        <v>15</v>
      </c>
      <c r="C30" s="45">
        <v>39302</v>
      </c>
      <c r="D30" s="15">
        <v>39339</v>
      </c>
      <c r="E30" s="15">
        <v>2007</v>
      </c>
      <c r="F30" s="18">
        <v>19479</v>
      </c>
      <c r="G30" s="46" t="s">
        <v>122</v>
      </c>
      <c r="H30" s="46" t="s">
        <v>80</v>
      </c>
      <c r="I30" s="15">
        <v>151.96</v>
      </c>
      <c r="J30" s="47">
        <v>408</v>
      </c>
      <c r="K30" s="47">
        <v>0</v>
      </c>
      <c r="L30" s="48">
        <v>0.25</v>
      </c>
      <c r="M30" s="15" t="s">
        <v>150</v>
      </c>
      <c r="N30" s="17">
        <v>62000</v>
      </c>
      <c r="O30" s="40">
        <v>0</v>
      </c>
      <c r="P30" s="40">
        <v>0</v>
      </c>
      <c r="Q30" s="40">
        <v>0</v>
      </c>
      <c r="R30" s="40">
        <f t="shared" si="0"/>
        <v>62000</v>
      </c>
      <c r="S30"/>
    </row>
    <row r="31" spans="1:19">
      <c r="A31" s="32">
        <v>25</v>
      </c>
      <c r="B31" s="44" t="s">
        <v>15</v>
      </c>
      <c r="C31" s="45">
        <v>39302</v>
      </c>
      <c r="D31" s="15">
        <v>39340</v>
      </c>
      <c r="E31" s="15">
        <v>2007</v>
      </c>
      <c r="F31" s="18">
        <v>19480</v>
      </c>
      <c r="G31" s="46" t="s">
        <v>120</v>
      </c>
      <c r="H31" s="46" t="s">
        <v>81</v>
      </c>
      <c r="I31" s="15">
        <v>12.291</v>
      </c>
      <c r="J31" s="47">
        <v>380.01</v>
      </c>
      <c r="K31" s="47">
        <v>2335.37</v>
      </c>
      <c r="L31" s="48">
        <v>0.25</v>
      </c>
      <c r="M31" s="15" t="s">
        <v>151</v>
      </c>
      <c r="N31" s="17">
        <v>4670.7299999999996</v>
      </c>
      <c r="O31" s="40">
        <v>2335.37</v>
      </c>
      <c r="P31" s="40">
        <v>0</v>
      </c>
      <c r="Q31" s="40">
        <v>3249.84</v>
      </c>
      <c r="R31" s="40">
        <f t="shared" si="0"/>
        <v>10255.939999999999</v>
      </c>
      <c r="S31"/>
    </row>
    <row r="32" spans="1:19">
      <c r="A32" s="32">
        <v>26</v>
      </c>
      <c r="B32" s="44" t="s">
        <v>15</v>
      </c>
      <c r="C32" s="45">
        <v>39302</v>
      </c>
      <c r="D32" s="15">
        <v>39341</v>
      </c>
      <c r="E32" s="15">
        <v>2007</v>
      </c>
      <c r="F32" s="18">
        <v>19481</v>
      </c>
      <c r="G32" s="46" t="s">
        <v>123</v>
      </c>
      <c r="H32" s="46" t="s">
        <v>82</v>
      </c>
      <c r="I32" s="15">
        <v>12.59</v>
      </c>
      <c r="J32" s="47">
        <v>357</v>
      </c>
      <c r="K32" s="47">
        <v>2247.3200000000002</v>
      </c>
      <c r="L32" s="48">
        <v>0.26</v>
      </c>
      <c r="M32" s="15" t="s">
        <v>151</v>
      </c>
      <c r="N32" s="17">
        <v>4494.63</v>
      </c>
      <c r="O32" s="40">
        <v>0</v>
      </c>
      <c r="P32" s="40">
        <v>0</v>
      </c>
      <c r="Q32" s="40">
        <v>21989.08</v>
      </c>
      <c r="R32" s="40">
        <f t="shared" si="0"/>
        <v>26483.710000000003</v>
      </c>
      <c r="S32"/>
    </row>
    <row r="33" spans="1:19">
      <c r="A33" s="32">
        <v>27</v>
      </c>
      <c r="B33" s="39" t="s">
        <v>11</v>
      </c>
      <c r="C33" s="34">
        <v>39337</v>
      </c>
      <c r="D33" s="27">
        <v>39355</v>
      </c>
      <c r="E33" s="15">
        <v>2007</v>
      </c>
      <c r="F33" s="32">
        <v>19483</v>
      </c>
      <c r="G33" s="35" t="s">
        <v>243</v>
      </c>
      <c r="H33" s="35" t="s">
        <v>13</v>
      </c>
      <c r="I33" s="27">
        <v>100</v>
      </c>
      <c r="J33" s="36">
        <v>455</v>
      </c>
      <c r="K33" s="36">
        <v>22750</v>
      </c>
      <c r="L33" s="37">
        <v>0.255</v>
      </c>
      <c r="M33" s="15" t="s">
        <v>151</v>
      </c>
      <c r="N33" s="40">
        <v>45500</v>
      </c>
      <c r="O33" s="40">
        <f>-15925+22750+22750</f>
        <v>29575</v>
      </c>
      <c r="P33" s="40">
        <v>0</v>
      </c>
      <c r="Q33" s="40">
        <v>144358.93</v>
      </c>
      <c r="R33" s="40">
        <f t="shared" si="0"/>
        <v>219433.93</v>
      </c>
      <c r="S33"/>
    </row>
    <row r="34" spans="1:19">
      <c r="A34" s="32">
        <v>28</v>
      </c>
      <c r="B34" s="44" t="s">
        <v>15</v>
      </c>
      <c r="C34" s="45">
        <v>39337</v>
      </c>
      <c r="D34" s="15">
        <v>39379</v>
      </c>
      <c r="E34" s="15">
        <v>2007</v>
      </c>
      <c r="F34" s="18">
        <v>19493</v>
      </c>
      <c r="G34" s="46" t="s">
        <v>120</v>
      </c>
      <c r="H34" s="46" t="s">
        <v>18</v>
      </c>
      <c r="I34" s="15">
        <v>1.41</v>
      </c>
      <c r="J34" s="47">
        <v>458</v>
      </c>
      <c r="K34" s="47">
        <v>322.89</v>
      </c>
      <c r="L34" s="48">
        <v>0.25</v>
      </c>
      <c r="M34" s="15" t="s">
        <v>150</v>
      </c>
      <c r="N34" s="17">
        <v>645.78</v>
      </c>
      <c r="O34" s="40">
        <f>K34*2</f>
        <v>645.78</v>
      </c>
      <c r="P34" s="40">
        <v>0</v>
      </c>
      <c r="Q34" s="40">
        <v>0</v>
      </c>
      <c r="R34" s="40">
        <f t="shared" si="0"/>
        <v>1291.56</v>
      </c>
      <c r="S34"/>
    </row>
    <row r="35" spans="1:19">
      <c r="A35" s="32">
        <v>29</v>
      </c>
      <c r="B35" s="33" t="s">
        <v>15</v>
      </c>
      <c r="C35" s="34">
        <v>39365</v>
      </c>
      <c r="D35" s="27">
        <v>39409</v>
      </c>
      <c r="E35" s="15">
        <v>2007</v>
      </c>
      <c r="F35" s="32">
        <v>19501</v>
      </c>
      <c r="G35" s="35" t="s">
        <v>243</v>
      </c>
      <c r="H35" s="35" t="s">
        <v>28</v>
      </c>
      <c r="I35" s="27">
        <v>94</v>
      </c>
      <c r="J35" s="36">
        <v>1159.04</v>
      </c>
      <c r="K35" s="36">
        <v>54475</v>
      </c>
      <c r="L35" s="37">
        <v>0.2555</v>
      </c>
      <c r="M35" s="15" t="s">
        <v>151</v>
      </c>
      <c r="N35" s="40">
        <v>108950</v>
      </c>
      <c r="O35" s="40">
        <v>54475</v>
      </c>
      <c r="P35" s="17">
        <v>1115.3499999999999</v>
      </c>
      <c r="Q35" s="17">
        <v>27148.52</v>
      </c>
      <c r="R35" s="40">
        <f t="shared" si="0"/>
        <v>191688.87</v>
      </c>
      <c r="S35"/>
    </row>
    <row r="36" spans="1:19">
      <c r="A36" s="32">
        <v>30</v>
      </c>
      <c r="B36" s="44" t="s">
        <v>15</v>
      </c>
      <c r="C36" s="45">
        <v>39365</v>
      </c>
      <c r="D36" s="15">
        <v>39433</v>
      </c>
      <c r="E36" s="15">
        <v>2007</v>
      </c>
      <c r="F36" s="18">
        <v>19509</v>
      </c>
      <c r="G36" s="46" t="s">
        <v>120</v>
      </c>
      <c r="H36" s="46" t="s">
        <v>79</v>
      </c>
      <c r="I36" s="15">
        <v>614.721</v>
      </c>
      <c r="J36" s="47">
        <v>527</v>
      </c>
      <c r="K36" s="47">
        <v>161978.99</v>
      </c>
      <c r="L36" s="48">
        <v>0.25</v>
      </c>
      <c r="M36" s="15" t="s">
        <v>151</v>
      </c>
      <c r="N36" s="17">
        <v>323957.96999999997</v>
      </c>
      <c r="O36" s="40"/>
      <c r="P36" s="40">
        <v>0</v>
      </c>
      <c r="Q36" s="40">
        <f>645173.04+1020762.06</f>
        <v>1665935.1</v>
      </c>
      <c r="R36" s="40">
        <f t="shared" si="0"/>
        <v>1989893.07</v>
      </c>
      <c r="S36"/>
    </row>
    <row r="37" spans="1:19">
      <c r="A37" s="32">
        <v>31</v>
      </c>
      <c r="B37" s="44" t="s">
        <v>15</v>
      </c>
      <c r="C37" s="45">
        <v>39365</v>
      </c>
      <c r="D37" s="15">
        <v>39434</v>
      </c>
      <c r="E37" s="15">
        <v>2007</v>
      </c>
      <c r="F37" s="18">
        <v>19510</v>
      </c>
      <c r="G37" s="46" t="s">
        <v>129</v>
      </c>
      <c r="H37" s="46" t="s">
        <v>79</v>
      </c>
      <c r="I37" s="15">
        <v>61.13</v>
      </c>
      <c r="J37" s="47">
        <v>527</v>
      </c>
      <c r="K37" s="47">
        <v>16107.76</v>
      </c>
      <c r="L37" s="48">
        <v>0.25</v>
      </c>
      <c r="M37" s="15" t="s">
        <v>151</v>
      </c>
      <c r="N37" s="17">
        <v>32215.51</v>
      </c>
      <c r="O37" s="40">
        <v>0</v>
      </c>
      <c r="P37" s="40">
        <v>0</v>
      </c>
      <c r="Q37" s="40">
        <v>68226.25</v>
      </c>
      <c r="R37" s="40">
        <f t="shared" si="0"/>
        <v>100441.76</v>
      </c>
      <c r="S37"/>
    </row>
    <row r="38" spans="1:19">
      <c r="A38" s="32">
        <v>32</v>
      </c>
      <c r="B38" s="44" t="s">
        <v>15</v>
      </c>
      <c r="C38" s="45">
        <v>39365</v>
      </c>
      <c r="D38" s="15">
        <v>39435</v>
      </c>
      <c r="E38" s="15">
        <v>2007</v>
      </c>
      <c r="F38" s="18">
        <v>19511</v>
      </c>
      <c r="G38" s="46" t="s">
        <v>120</v>
      </c>
      <c r="H38" s="46" t="s">
        <v>79</v>
      </c>
      <c r="I38" s="15">
        <v>0.19</v>
      </c>
      <c r="J38" s="47">
        <v>527</v>
      </c>
      <c r="K38" s="47">
        <v>50.07</v>
      </c>
      <c r="L38" s="48">
        <v>0.25</v>
      </c>
      <c r="M38" s="15" t="s">
        <v>150</v>
      </c>
      <c r="N38" s="17">
        <v>100.13</v>
      </c>
      <c r="O38" s="40">
        <f>K38*2</f>
        <v>100.14</v>
      </c>
      <c r="P38" s="40">
        <v>0</v>
      </c>
      <c r="Q38" s="40">
        <v>0</v>
      </c>
      <c r="R38" s="40">
        <f t="shared" si="0"/>
        <v>200.26999999999998</v>
      </c>
      <c r="S38"/>
    </row>
    <row r="39" spans="1:19">
      <c r="A39" s="32">
        <v>33</v>
      </c>
      <c r="B39" s="44" t="s">
        <v>15</v>
      </c>
      <c r="C39" s="45">
        <v>39400</v>
      </c>
      <c r="D39" s="15">
        <v>39488</v>
      </c>
      <c r="E39" s="15">
        <v>2007</v>
      </c>
      <c r="F39" s="18">
        <v>19532</v>
      </c>
      <c r="G39" s="46" t="s">
        <v>127</v>
      </c>
      <c r="H39" s="46" t="s">
        <v>84</v>
      </c>
      <c r="I39" s="15">
        <v>1</v>
      </c>
      <c r="J39" s="47">
        <v>500</v>
      </c>
      <c r="K39" s="47">
        <v>0</v>
      </c>
      <c r="L39" s="48">
        <v>0.23</v>
      </c>
      <c r="M39" s="15" t="s">
        <v>151</v>
      </c>
      <c r="N39" s="17">
        <v>500</v>
      </c>
      <c r="O39" s="40">
        <v>0</v>
      </c>
      <c r="P39" s="40">
        <v>0</v>
      </c>
      <c r="Q39" s="40">
        <f>34+177</f>
        <v>211</v>
      </c>
      <c r="R39" s="40">
        <f t="shared" si="0"/>
        <v>711</v>
      </c>
      <c r="S39"/>
    </row>
    <row r="40" spans="1:19" ht="17.25">
      <c r="A40" s="32">
        <v>34</v>
      </c>
      <c r="B40" s="33" t="s">
        <v>15</v>
      </c>
      <c r="C40" s="34">
        <v>39428</v>
      </c>
      <c r="D40" s="27">
        <v>39516</v>
      </c>
      <c r="E40" s="15">
        <v>2007</v>
      </c>
      <c r="F40" s="32">
        <v>19545</v>
      </c>
      <c r="G40" s="35" t="s">
        <v>243</v>
      </c>
      <c r="H40" s="35" t="s">
        <v>55</v>
      </c>
      <c r="I40" s="27">
        <v>139</v>
      </c>
      <c r="J40" s="36">
        <v>300</v>
      </c>
      <c r="K40" s="36">
        <v>20850</v>
      </c>
      <c r="L40" s="37">
        <v>0.21</v>
      </c>
      <c r="M40" s="15" t="s">
        <v>150</v>
      </c>
      <c r="N40" s="51">
        <v>41700</v>
      </c>
      <c r="O40" s="51">
        <f>20850+20850</f>
        <v>41700</v>
      </c>
      <c r="P40" s="51">
        <v>0</v>
      </c>
      <c r="Q40" s="51">
        <v>0</v>
      </c>
      <c r="R40" s="51">
        <f t="shared" si="0"/>
        <v>83400</v>
      </c>
      <c r="S40"/>
    </row>
    <row r="41" spans="1:19">
      <c r="M41" s="22" t="s">
        <v>256</v>
      </c>
      <c r="N41" s="23">
        <f>SUM(N7:N40)</f>
        <v>1716141.2099999997</v>
      </c>
      <c r="O41" s="24">
        <f>SUM(O7:O40)</f>
        <v>818829.85</v>
      </c>
      <c r="P41" s="24">
        <f>SUM(P7:P40)</f>
        <v>16531.53</v>
      </c>
      <c r="Q41" s="24">
        <f>SUM(Q7:Q40)</f>
        <v>3296634.56</v>
      </c>
      <c r="R41" s="24">
        <f>SUM(R7:R40)</f>
        <v>5848137.1500000004</v>
      </c>
      <c r="S41"/>
    </row>
  </sheetData>
  <autoFilter ref="B6:S40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5" fitToHeight="23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workbookViewId="0"/>
  </sheetViews>
  <sheetFormatPr defaultRowHeight="15"/>
  <cols>
    <col min="1" max="1" width="5.42578125" customWidth="1"/>
    <col min="2" max="2" width="23.28515625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28.42578125" bestFit="1" customWidth="1"/>
    <col min="8" max="8" width="40.285156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265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44" t="s">
        <v>17</v>
      </c>
      <c r="C7" s="45">
        <v>39456</v>
      </c>
      <c r="D7" s="15">
        <v>39582</v>
      </c>
      <c r="E7" s="15">
        <v>2008</v>
      </c>
      <c r="F7" s="18">
        <v>19573</v>
      </c>
      <c r="G7" s="46" t="s">
        <v>130</v>
      </c>
      <c r="H7" s="46" t="s">
        <v>69</v>
      </c>
      <c r="I7" s="15">
        <v>183</v>
      </c>
      <c r="J7" s="47">
        <v>155</v>
      </c>
      <c r="K7" s="47">
        <v>14182.5</v>
      </c>
      <c r="L7" s="48">
        <v>0.25</v>
      </c>
      <c r="M7" s="15" t="s">
        <v>151</v>
      </c>
      <c r="N7" s="16">
        <v>28365</v>
      </c>
      <c r="O7" s="38">
        <v>0</v>
      </c>
      <c r="P7" s="38">
        <v>28365</v>
      </c>
      <c r="Q7" s="38">
        <v>0</v>
      </c>
      <c r="R7" s="38">
        <f t="shared" ref="R7:R29" si="0">SUM(N7:Q7)</f>
        <v>56730</v>
      </c>
      <c r="S7"/>
    </row>
    <row r="8" spans="1:19">
      <c r="A8" s="32">
        <v>2</v>
      </c>
      <c r="B8" s="33" t="s">
        <v>56</v>
      </c>
      <c r="C8" s="34">
        <v>39456</v>
      </c>
      <c r="D8" s="27">
        <v>39598</v>
      </c>
      <c r="E8" s="15">
        <v>2008</v>
      </c>
      <c r="F8" s="32">
        <v>19575</v>
      </c>
      <c r="G8" s="35" t="s">
        <v>243</v>
      </c>
      <c r="H8" s="35" t="s">
        <v>54</v>
      </c>
      <c r="I8" s="27">
        <v>80</v>
      </c>
      <c r="J8" s="36">
        <v>157</v>
      </c>
      <c r="K8" s="36">
        <v>6280</v>
      </c>
      <c r="L8" s="37">
        <v>0.21</v>
      </c>
      <c r="M8" s="15" t="s">
        <v>150</v>
      </c>
      <c r="N8" s="40">
        <v>12560</v>
      </c>
      <c r="O8" s="40">
        <f>6280+6280</f>
        <v>12560</v>
      </c>
      <c r="P8" s="40">
        <v>0</v>
      </c>
      <c r="Q8" s="40">
        <v>0</v>
      </c>
      <c r="R8" s="40">
        <f t="shared" si="0"/>
        <v>25120</v>
      </c>
      <c r="S8"/>
    </row>
    <row r="9" spans="1:19">
      <c r="A9" s="32">
        <v>3</v>
      </c>
      <c r="B9" s="33" t="s">
        <v>56</v>
      </c>
      <c r="C9" s="34">
        <v>39456</v>
      </c>
      <c r="D9" s="27">
        <v>39599</v>
      </c>
      <c r="E9" s="15">
        <v>2008</v>
      </c>
      <c r="F9" s="32">
        <v>19576</v>
      </c>
      <c r="G9" s="35" t="s">
        <v>243</v>
      </c>
      <c r="H9" s="35" t="s">
        <v>54</v>
      </c>
      <c r="I9" s="27">
        <v>177</v>
      </c>
      <c r="J9" s="36">
        <v>157</v>
      </c>
      <c r="K9" s="36">
        <v>13894.5</v>
      </c>
      <c r="L9" s="37">
        <v>0.21</v>
      </c>
      <c r="M9" s="15" t="s">
        <v>151</v>
      </c>
      <c r="N9" s="40">
        <v>27789</v>
      </c>
      <c r="O9" s="40">
        <f>113894.5+13894.5</f>
        <v>127789</v>
      </c>
      <c r="P9" s="40">
        <v>0</v>
      </c>
      <c r="Q9" s="40">
        <v>70876.899999999994</v>
      </c>
      <c r="R9" s="40">
        <f t="shared" si="0"/>
        <v>226454.9</v>
      </c>
      <c r="S9"/>
    </row>
    <row r="10" spans="1:19">
      <c r="A10" s="32">
        <v>4</v>
      </c>
      <c r="B10" s="44" t="s">
        <v>9</v>
      </c>
      <c r="C10" s="45">
        <v>39491</v>
      </c>
      <c r="D10" s="15">
        <v>39622</v>
      </c>
      <c r="E10" s="15">
        <v>2008</v>
      </c>
      <c r="F10" s="18">
        <v>19589</v>
      </c>
      <c r="G10" s="46" t="s">
        <v>131</v>
      </c>
      <c r="H10" s="46" t="s">
        <v>83</v>
      </c>
      <c r="I10" s="15">
        <v>6.77</v>
      </c>
      <c r="J10" s="47">
        <v>500</v>
      </c>
      <c r="K10" s="47">
        <v>3385</v>
      </c>
      <c r="L10" s="48">
        <v>0.25</v>
      </c>
      <c r="M10" s="15" t="s">
        <v>151</v>
      </c>
      <c r="N10" s="17">
        <v>3385</v>
      </c>
      <c r="O10" s="40">
        <v>0</v>
      </c>
      <c r="P10" s="40">
        <v>0</v>
      </c>
      <c r="Q10" s="40">
        <v>31068.560000000001</v>
      </c>
      <c r="R10" s="40">
        <f t="shared" si="0"/>
        <v>34453.56</v>
      </c>
      <c r="S10"/>
    </row>
    <row r="11" spans="1:19">
      <c r="A11" s="32">
        <v>5</v>
      </c>
      <c r="B11" s="44" t="s">
        <v>9</v>
      </c>
      <c r="C11" s="45">
        <v>39491</v>
      </c>
      <c r="D11" s="15">
        <v>39623</v>
      </c>
      <c r="E11" s="15">
        <v>2008</v>
      </c>
      <c r="F11" s="18">
        <v>19590</v>
      </c>
      <c r="G11" s="46" t="s">
        <v>131</v>
      </c>
      <c r="H11" s="46" t="s">
        <v>83</v>
      </c>
      <c r="I11" s="15">
        <v>18.75</v>
      </c>
      <c r="J11" s="47">
        <v>500</v>
      </c>
      <c r="K11" s="47">
        <v>9375</v>
      </c>
      <c r="L11" s="48">
        <v>0.25</v>
      </c>
      <c r="M11" s="15" t="s">
        <v>151</v>
      </c>
      <c r="N11" s="17">
        <v>9375</v>
      </c>
      <c r="O11" s="40">
        <v>0</v>
      </c>
      <c r="P11" s="40">
        <v>0</v>
      </c>
      <c r="Q11" s="40">
        <v>17556.36</v>
      </c>
      <c r="R11" s="40">
        <f t="shared" si="0"/>
        <v>26931.360000000001</v>
      </c>
      <c r="S11"/>
    </row>
    <row r="12" spans="1:19">
      <c r="A12" s="32">
        <v>6</v>
      </c>
      <c r="B12" s="39" t="s">
        <v>11</v>
      </c>
      <c r="C12" s="34">
        <v>39519</v>
      </c>
      <c r="D12" s="27">
        <v>39631</v>
      </c>
      <c r="E12" s="15">
        <v>2008</v>
      </c>
      <c r="F12" s="32">
        <v>19594</v>
      </c>
      <c r="G12" s="35" t="s">
        <v>243</v>
      </c>
      <c r="H12" s="35" t="s">
        <v>85</v>
      </c>
      <c r="I12" s="27">
        <v>122</v>
      </c>
      <c r="J12" s="36">
        <v>455</v>
      </c>
      <c r="K12" s="36">
        <v>27755</v>
      </c>
      <c r="L12" s="37">
        <v>0.25</v>
      </c>
      <c r="M12" s="15" t="s">
        <v>150</v>
      </c>
      <c r="N12" s="40">
        <v>55510</v>
      </c>
      <c r="O12" s="40">
        <v>27755</v>
      </c>
      <c r="P12" s="40">
        <v>0</v>
      </c>
      <c r="Q12" s="40">
        <v>0</v>
      </c>
      <c r="R12" s="40">
        <f t="shared" si="0"/>
        <v>83265</v>
      </c>
      <c r="S12"/>
    </row>
    <row r="13" spans="1:19">
      <c r="A13" s="32">
        <v>7</v>
      </c>
      <c r="B13" s="49" t="s">
        <v>61</v>
      </c>
      <c r="C13" s="45">
        <v>39519</v>
      </c>
      <c r="D13" s="15">
        <v>39719</v>
      </c>
      <c r="E13" s="15">
        <v>2008</v>
      </c>
      <c r="F13" s="18">
        <v>19619</v>
      </c>
      <c r="G13" s="46" t="s">
        <v>122</v>
      </c>
      <c r="H13" s="46" t="s">
        <v>18</v>
      </c>
      <c r="I13" s="15">
        <v>202</v>
      </c>
      <c r="J13" s="47">
        <v>658</v>
      </c>
      <c r="K13" s="47">
        <v>66458</v>
      </c>
      <c r="L13" s="48">
        <v>0.2525</v>
      </c>
      <c r="M13" s="15" t="s">
        <v>153</v>
      </c>
      <c r="N13" s="17">
        <v>132916</v>
      </c>
      <c r="O13" s="40">
        <v>132916</v>
      </c>
      <c r="P13" s="40">
        <v>0</v>
      </c>
      <c r="Q13" s="40">
        <v>0</v>
      </c>
      <c r="R13" s="40">
        <f t="shared" si="0"/>
        <v>265832</v>
      </c>
      <c r="S13"/>
    </row>
    <row r="14" spans="1:19">
      <c r="A14" s="32">
        <v>8</v>
      </c>
      <c r="B14" s="49" t="s">
        <v>61</v>
      </c>
      <c r="C14" s="45">
        <v>39547</v>
      </c>
      <c r="D14" s="15">
        <v>39789</v>
      </c>
      <c r="E14" s="15">
        <v>2008</v>
      </c>
      <c r="F14" s="18">
        <v>19651</v>
      </c>
      <c r="G14" s="46" t="s">
        <v>132</v>
      </c>
      <c r="H14" s="46" t="s">
        <v>86</v>
      </c>
      <c r="I14" s="15">
        <v>44.16</v>
      </c>
      <c r="J14" s="47">
        <v>3017</v>
      </c>
      <c r="K14" s="47">
        <v>66615.360000000001</v>
      </c>
      <c r="L14" s="48">
        <v>0.26</v>
      </c>
      <c r="M14" s="15" t="s">
        <v>151</v>
      </c>
      <c r="N14" s="17">
        <v>133230.72</v>
      </c>
      <c r="O14" s="40">
        <v>0</v>
      </c>
      <c r="P14" s="40">
        <v>0</v>
      </c>
      <c r="Q14" s="40">
        <v>1121.93</v>
      </c>
      <c r="R14" s="40">
        <f t="shared" si="0"/>
        <v>134352.65</v>
      </c>
      <c r="S14"/>
    </row>
    <row r="15" spans="1:19">
      <c r="A15" s="32">
        <v>9</v>
      </c>
      <c r="B15" s="49" t="s">
        <v>61</v>
      </c>
      <c r="C15" s="45">
        <v>39547</v>
      </c>
      <c r="D15" s="15">
        <v>39790</v>
      </c>
      <c r="E15" s="15">
        <v>2008</v>
      </c>
      <c r="F15" s="18">
        <v>19652</v>
      </c>
      <c r="G15" s="46" t="s">
        <v>132</v>
      </c>
      <c r="H15" s="46" t="s">
        <v>86</v>
      </c>
      <c r="I15" s="15">
        <v>17.100000000000001</v>
      </c>
      <c r="J15" s="47">
        <v>3017</v>
      </c>
      <c r="K15" s="47">
        <v>25795.35</v>
      </c>
      <c r="L15" s="48">
        <v>0.26</v>
      </c>
      <c r="M15" s="15" t="s">
        <v>150</v>
      </c>
      <c r="N15" s="17">
        <v>51590.7</v>
      </c>
      <c r="O15" s="40">
        <v>0</v>
      </c>
      <c r="P15" s="40">
        <v>0</v>
      </c>
      <c r="Q15" s="40">
        <v>0</v>
      </c>
      <c r="R15" s="40">
        <f t="shared" si="0"/>
        <v>51590.7</v>
      </c>
      <c r="S15"/>
    </row>
    <row r="16" spans="1:19">
      <c r="A16" s="32">
        <v>10</v>
      </c>
      <c r="B16" s="44" t="s">
        <v>15</v>
      </c>
      <c r="C16" s="45">
        <v>39582</v>
      </c>
      <c r="D16" s="15">
        <v>39840</v>
      </c>
      <c r="E16" s="15">
        <v>2008</v>
      </c>
      <c r="F16" s="18">
        <v>19675</v>
      </c>
      <c r="G16" s="46" t="s">
        <v>120</v>
      </c>
      <c r="H16" s="46" t="s">
        <v>78</v>
      </c>
      <c r="I16" s="15">
        <v>19.29</v>
      </c>
      <c r="J16" s="47">
        <v>7557</v>
      </c>
      <c r="K16" s="47">
        <v>72887.27</v>
      </c>
      <c r="L16" s="48">
        <v>0.25</v>
      </c>
      <c r="M16" s="15" t="s">
        <v>150</v>
      </c>
      <c r="N16" s="17">
        <v>145774.53</v>
      </c>
      <c r="O16" s="40">
        <v>72887.27</v>
      </c>
      <c r="P16" s="40">
        <v>0</v>
      </c>
      <c r="Q16" s="40">
        <v>0</v>
      </c>
      <c r="R16" s="40">
        <f t="shared" si="0"/>
        <v>218661.8</v>
      </c>
      <c r="S16"/>
    </row>
    <row r="17" spans="1:19">
      <c r="A17" s="32">
        <v>11</v>
      </c>
      <c r="B17" s="33" t="s">
        <v>15</v>
      </c>
      <c r="C17" s="34">
        <v>39610</v>
      </c>
      <c r="D17" s="27">
        <v>39862</v>
      </c>
      <c r="E17" s="15">
        <v>2008</v>
      </c>
      <c r="F17" s="32">
        <v>19686</v>
      </c>
      <c r="G17" s="35" t="s">
        <v>243</v>
      </c>
      <c r="H17" s="35" t="s">
        <v>87</v>
      </c>
      <c r="I17" s="27">
        <v>207</v>
      </c>
      <c r="J17" s="36">
        <v>14500</v>
      </c>
      <c r="K17" s="36">
        <v>1500750</v>
      </c>
      <c r="L17" s="37">
        <v>0.25</v>
      </c>
      <c r="M17" s="15" t="s">
        <v>150</v>
      </c>
      <c r="N17" s="40">
        <v>3001500</v>
      </c>
      <c r="O17" s="40">
        <v>0</v>
      </c>
      <c r="P17" s="40">
        <v>0</v>
      </c>
      <c r="Q17" s="40">
        <v>0</v>
      </c>
      <c r="R17" s="40">
        <f t="shared" si="0"/>
        <v>3001500</v>
      </c>
      <c r="S17"/>
    </row>
    <row r="18" spans="1:19">
      <c r="A18" s="32">
        <v>12</v>
      </c>
      <c r="B18" s="33" t="s">
        <v>15</v>
      </c>
      <c r="C18" s="34">
        <v>39610</v>
      </c>
      <c r="D18" s="27">
        <v>39863</v>
      </c>
      <c r="E18" s="15">
        <v>2008</v>
      </c>
      <c r="F18" s="32">
        <v>19687</v>
      </c>
      <c r="G18" s="35" t="s">
        <v>243</v>
      </c>
      <c r="H18" s="35" t="s">
        <v>87</v>
      </c>
      <c r="I18" s="27">
        <v>157</v>
      </c>
      <c r="J18" s="36">
        <v>14500</v>
      </c>
      <c r="K18" s="36">
        <v>1138250</v>
      </c>
      <c r="L18" s="37">
        <v>0.25</v>
      </c>
      <c r="M18" s="15" t="s">
        <v>150</v>
      </c>
      <c r="N18" s="40">
        <v>2276500</v>
      </c>
      <c r="O18" s="40">
        <v>0</v>
      </c>
      <c r="P18" s="40">
        <v>0</v>
      </c>
      <c r="Q18" s="40">
        <v>0</v>
      </c>
      <c r="R18" s="40">
        <f t="shared" si="0"/>
        <v>2276500</v>
      </c>
      <c r="S18"/>
    </row>
    <row r="19" spans="1:19">
      <c r="A19" s="32">
        <v>13</v>
      </c>
      <c r="B19" s="33" t="s">
        <v>15</v>
      </c>
      <c r="C19" s="34">
        <v>39610</v>
      </c>
      <c r="D19" s="27">
        <v>39864</v>
      </c>
      <c r="E19" s="15">
        <v>2008</v>
      </c>
      <c r="F19" s="32">
        <v>19688</v>
      </c>
      <c r="G19" s="35" t="s">
        <v>243</v>
      </c>
      <c r="H19" s="35" t="s">
        <v>87</v>
      </c>
      <c r="I19" s="27">
        <v>579</v>
      </c>
      <c r="J19" s="36">
        <v>11750</v>
      </c>
      <c r="K19" s="36">
        <v>3401625</v>
      </c>
      <c r="L19" s="37">
        <v>0.25</v>
      </c>
      <c r="M19" s="15" t="s">
        <v>150</v>
      </c>
      <c r="N19" s="40">
        <v>6803250</v>
      </c>
      <c r="O19" s="40">
        <v>0</v>
      </c>
      <c r="P19" s="40">
        <v>0</v>
      </c>
      <c r="Q19" s="40">
        <v>0</v>
      </c>
      <c r="R19" s="40">
        <f t="shared" si="0"/>
        <v>6803250</v>
      </c>
      <c r="S19"/>
    </row>
    <row r="20" spans="1:19">
      <c r="A20" s="32">
        <v>14</v>
      </c>
      <c r="B20" s="33" t="s">
        <v>15</v>
      </c>
      <c r="C20" s="34">
        <v>39610</v>
      </c>
      <c r="D20" s="27">
        <v>39865</v>
      </c>
      <c r="E20" s="15">
        <v>2008</v>
      </c>
      <c r="F20" s="32">
        <v>19689</v>
      </c>
      <c r="G20" s="35" t="s">
        <v>243</v>
      </c>
      <c r="H20" s="35" t="s">
        <v>87</v>
      </c>
      <c r="I20" s="27">
        <v>599</v>
      </c>
      <c r="J20" s="36">
        <v>11750</v>
      </c>
      <c r="K20" s="36">
        <v>3519125</v>
      </c>
      <c r="L20" s="37">
        <v>0.25</v>
      </c>
      <c r="M20" s="15" t="s">
        <v>150</v>
      </c>
      <c r="N20" s="40">
        <v>7038250</v>
      </c>
      <c r="O20" s="40">
        <v>0</v>
      </c>
      <c r="P20" s="40">
        <v>0</v>
      </c>
      <c r="Q20" s="40">
        <v>0</v>
      </c>
      <c r="R20" s="40">
        <f t="shared" si="0"/>
        <v>7038250</v>
      </c>
      <c r="S20"/>
    </row>
    <row r="21" spans="1:19">
      <c r="A21" s="32">
        <v>15</v>
      </c>
      <c r="B21" s="33" t="s">
        <v>15</v>
      </c>
      <c r="C21" s="34">
        <v>39610</v>
      </c>
      <c r="D21" s="27">
        <v>39866</v>
      </c>
      <c r="E21" s="15">
        <v>2008</v>
      </c>
      <c r="F21" s="32">
        <v>19690</v>
      </c>
      <c r="G21" s="35" t="s">
        <v>243</v>
      </c>
      <c r="H21" s="35" t="s">
        <v>87</v>
      </c>
      <c r="I21" s="27">
        <v>386</v>
      </c>
      <c r="J21" s="36">
        <v>14500</v>
      </c>
      <c r="K21" s="36">
        <v>2798500</v>
      </c>
      <c r="L21" s="37">
        <v>0.25</v>
      </c>
      <c r="M21" s="15" t="s">
        <v>150</v>
      </c>
      <c r="N21" s="40">
        <v>5597000</v>
      </c>
      <c r="O21" s="40">
        <v>0</v>
      </c>
      <c r="P21" s="40">
        <v>0</v>
      </c>
      <c r="Q21" s="40">
        <v>0</v>
      </c>
      <c r="R21" s="40">
        <f t="shared" si="0"/>
        <v>5597000</v>
      </c>
      <c r="S21"/>
    </row>
    <row r="22" spans="1:19">
      <c r="A22" s="32">
        <v>16</v>
      </c>
      <c r="B22" s="33" t="s">
        <v>15</v>
      </c>
      <c r="C22" s="34">
        <v>39610</v>
      </c>
      <c r="D22" s="27">
        <v>39867</v>
      </c>
      <c r="E22" s="15">
        <v>2008</v>
      </c>
      <c r="F22" s="32">
        <v>19691</v>
      </c>
      <c r="G22" s="35" t="s">
        <v>243</v>
      </c>
      <c r="H22" s="35" t="s">
        <v>87</v>
      </c>
      <c r="I22" s="27">
        <v>239</v>
      </c>
      <c r="J22" s="36">
        <v>14500</v>
      </c>
      <c r="K22" s="36">
        <v>1732750</v>
      </c>
      <c r="L22" s="37">
        <v>0.25</v>
      </c>
      <c r="M22" s="15" t="s">
        <v>150</v>
      </c>
      <c r="N22" s="40">
        <v>3465500</v>
      </c>
      <c r="O22" s="40">
        <v>0</v>
      </c>
      <c r="P22" s="40">
        <v>0</v>
      </c>
      <c r="Q22" s="40">
        <v>0</v>
      </c>
      <c r="R22" s="40">
        <f t="shared" si="0"/>
        <v>3465500</v>
      </c>
      <c r="S22"/>
    </row>
    <row r="23" spans="1:19">
      <c r="A23" s="32">
        <v>17</v>
      </c>
      <c r="B23" s="41" t="s">
        <v>88</v>
      </c>
      <c r="C23" s="34">
        <v>39610</v>
      </c>
      <c r="D23" s="27">
        <v>39868</v>
      </c>
      <c r="E23" s="15">
        <v>2008</v>
      </c>
      <c r="F23" s="32">
        <v>19692</v>
      </c>
      <c r="G23" s="35" t="s">
        <v>243</v>
      </c>
      <c r="H23" s="35" t="s">
        <v>87</v>
      </c>
      <c r="I23" s="27">
        <v>12</v>
      </c>
      <c r="J23" s="36">
        <v>11750</v>
      </c>
      <c r="K23" s="36">
        <v>70500</v>
      </c>
      <c r="L23" s="37">
        <v>0.25</v>
      </c>
      <c r="M23" s="15" t="s">
        <v>151</v>
      </c>
      <c r="N23" s="40">
        <v>141000</v>
      </c>
      <c r="O23" s="40">
        <v>70500</v>
      </c>
      <c r="P23" s="17">
        <v>0</v>
      </c>
      <c r="Q23" s="17">
        <v>5605.76</v>
      </c>
      <c r="R23" s="40">
        <f t="shared" si="0"/>
        <v>217105.76</v>
      </c>
      <c r="S23"/>
    </row>
    <row r="24" spans="1:19">
      <c r="A24" s="32">
        <v>18</v>
      </c>
      <c r="B24" s="33" t="s">
        <v>19</v>
      </c>
      <c r="C24" s="34">
        <v>39610</v>
      </c>
      <c r="D24" s="27">
        <v>39869</v>
      </c>
      <c r="E24" s="15">
        <v>2008</v>
      </c>
      <c r="F24" s="32">
        <v>19693</v>
      </c>
      <c r="G24" s="35" t="s">
        <v>243</v>
      </c>
      <c r="H24" s="35" t="s">
        <v>87</v>
      </c>
      <c r="I24" s="27">
        <v>35</v>
      </c>
      <c r="J24" s="36">
        <v>11750</v>
      </c>
      <c r="K24" s="36">
        <v>205625</v>
      </c>
      <c r="L24" s="37">
        <v>0.25</v>
      </c>
      <c r="M24" s="15" t="s">
        <v>151</v>
      </c>
      <c r="N24" s="40">
        <v>411250</v>
      </c>
      <c r="O24" s="40">
        <f>97466.25+41771.25</f>
        <v>139237.5</v>
      </c>
      <c r="P24" s="17">
        <v>0</v>
      </c>
      <c r="Q24" s="17">
        <v>7370.34</v>
      </c>
      <c r="R24" s="40">
        <f t="shared" si="0"/>
        <v>557857.84</v>
      </c>
      <c r="S24"/>
    </row>
    <row r="25" spans="1:19">
      <c r="A25" s="32">
        <v>19</v>
      </c>
      <c r="B25" s="33" t="s">
        <v>19</v>
      </c>
      <c r="C25" s="34">
        <v>39610</v>
      </c>
      <c r="D25" s="27">
        <v>39870</v>
      </c>
      <c r="E25" s="15">
        <v>2008</v>
      </c>
      <c r="F25" s="32">
        <v>19694</v>
      </c>
      <c r="G25" s="35" t="s">
        <v>243</v>
      </c>
      <c r="H25" s="35" t="s">
        <v>87</v>
      </c>
      <c r="I25" s="27">
        <v>44</v>
      </c>
      <c r="J25" s="36">
        <v>13179</v>
      </c>
      <c r="K25" s="36">
        <v>289938</v>
      </c>
      <c r="L25" s="37">
        <v>0.25</v>
      </c>
      <c r="M25" s="15" t="s">
        <v>151</v>
      </c>
      <c r="N25" s="40">
        <v>579876</v>
      </c>
      <c r="O25" s="40">
        <f>289938+19768.5</f>
        <v>309706.5</v>
      </c>
      <c r="P25" s="17">
        <v>0</v>
      </c>
      <c r="Q25" s="17">
        <v>2442.23</v>
      </c>
      <c r="R25" s="40">
        <f t="shared" si="0"/>
        <v>892024.73</v>
      </c>
      <c r="S25"/>
    </row>
    <row r="26" spans="1:19">
      <c r="A26" s="32">
        <v>20</v>
      </c>
      <c r="B26" s="33" t="s">
        <v>19</v>
      </c>
      <c r="C26" s="34">
        <v>39610</v>
      </c>
      <c r="D26" s="27">
        <v>39871</v>
      </c>
      <c r="E26" s="15">
        <v>2008</v>
      </c>
      <c r="F26" s="32">
        <v>19695</v>
      </c>
      <c r="G26" s="35" t="s">
        <v>243</v>
      </c>
      <c r="H26" s="35" t="s">
        <v>87</v>
      </c>
      <c r="I26" s="27">
        <v>258</v>
      </c>
      <c r="J26" s="36">
        <v>17179</v>
      </c>
      <c r="K26" s="36">
        <v>2216091</v>
      </c>
      <c r="L26" s="37">
        <v>0.25</v>
      </c>
      <c r="M26" s="15" t="s">
        <v>151</v>
      </c>
      <c r="N26" s="40">
        <v>4432182</v>
      </c>
      <c r="O26" s="40">
        <v>1696941.62</v>
      </c>
      <c r="P26" s="17">
        <v>2503.2399999999998</v>
      </c>
      <c r="Q26" s="17">
        <v>162000.47</v>
      </c>
      <c r="R26" s="40">
        <f t="shared" si="0"/>
        <v>6293627.3300000001</v>
      </c>
      <c r="S26"/>
    </row>
    <row r="27" spans="1:19">
      <c r="A27" s="32">
        <v>21</v>
      </c>
      <c r="B27" s="44" t="s">
        <v>19</v>
      </c>
      <c r="C27" s="45">
        <v>39610</v>
      </c>
      <c r="D27" s="15">
        <v>39928</v>
      </c>
      <c r="E27" s="15">
        <v>2008</v>
      </c>
      <c r="F27" s="18">
        <v>19717</v>
      </c>
      <c r="G27" s="35" t="s">
        <v>243</v>
      </c>
      <c r="H27" s="35" t="s">
        <v>78</v>
      </c>
      <c r="I27" s="27">
        <v>8.9499999999999993</v>
      </c>
      <c r="J27" s="36">
        <v>12000</v>
      </c>
      <c r="K27" s="36">
        <v>53700</v>
      </c>
      <c r="L27" s="37">
        <v>0.26</v>
      </c>
      <c r="M27" s="15" t="s">
        <v>150</v>
      </c>
      <c r="N27" s="40">
        <v>107400</v>
      </c>
      <c r="O27" s="17">
        <v>0</v>
      </c>
      <c r="P27" s="17">
        <v>0</v>
      </c>
      <c r="Q27" s="17">
        <v>0</v>
      </c>
      <c r="R27" s="40">
        <f t="shared" si="0"/>
        <v>107400</v>
      </c>
      <c r="S27"/>
    </row>
    <row r="28" spans="1:19">
      <c r="A28" s="32">
        <v>22</v>
      </c>
      <c r="B28" s="44" t="s">
        <v>15</v>
      </c>
      <c r="C28" s="45">
        <v>39638</v>
      </c>
      <c r="D28" s="15">
        <v>39963</v>
      </c>
      <c r="E28" s="15">
        <v>2008</v>
      </c>
      <c r="F28" s="18">
        <v>19734</v>
      </c>
      <c r="G28" s="46" t="s">
        <v>120</v>
      </c>
      <c r="H28" s="46" t="s">
        <v>13</v>
      </c>
      <c r="I28" s="15">
        <v>178.17</v>
      </c>
      <c r="J28" s="47">
        <v>30212</v>
      </c>
      <c r="K28" s="47">
        <v>2691436.02</v>
      </c>
      <c r="L28" s="48">
        <v>0.3</v>
      </c>
      <c r="M28" s="15" t="s">
        <v>150</v>
      </c>
      <c r="N28" s="17">
        <v>5382872.04</v>
      </c>
      <c r="O28" s="40">
        <v>2691436.02</v>
      </c>
      <c r="P28" s="40">
        <v>0</v>
      </c>
      <c r="Q28" s="40">
        <v>0</v>
      </c>
      <c r="R28" s="40">
        <f t="shared" si="0"/>
        <v>8074308.0600000005</v>
      </c>
      <c r="S28"/>
    </row>
    <row r="29" spans="1:19">
      <c r="A29" s="32">
        <v>23</v>
      </c>
      <c r="B29" s="44" t="s">
        <v>15</v>
      </c>
      <c r="C29" s="45">
        <v>39638</v>
      </c>
      <c r="D29" s="15">
        <v>39964</v>
      </c>
      <c r="E29" s="15">
        <v>2008</v>
      </c>
      <c r="F29" s="18">
        <v>19735</v>
      </c>
      <c r="G29" s="46" t="s">
        <v>120</v>
      </c>
      <c r="H29" s="46" t="s">
        <v>13</v>
      </c>
      <c r="I29" s="15">
        <v>15.29</v>
      </c>
      <c r="J29" s="47">
        <v>30212</v>
      </c>
      <c r="K29" s="47">
        <v>230970.74</v>
      </c>
      <c r="L29" s="48">
        <v>0.3</v>
      </c>
      <c r="M29" s="15" t="s">
        <v>150</v>
      </c>
      <c r="N29" s="17">
        <v>461941.48</v>
      </c>
      <c r="O29" s="40">
        <f>K29*2</f>
        <v>461941.48</v>
      </c>
      <c r="P29" s="40">
        <v>0</v>
      </c>
      <c r="Q29" s="40">
        <v>0</v>
      </c>
      <c r="R29" s="40">
        <f t="shared" si="0"/>
        <v>923882.96</v>
      </c>
      <c r="S29"/>
    </row>
    <row r="30" spans="1:19">
      <c r="A30" s="32">
        <v>24</v>
      </c>
      <c r="B30" s="44" t="s">
        <v>15</v>
      </c>
      <c r="C30" s="45">
        <v>39638</v>
      </c>
      <c r="D30" s="15">
        <v>39965</v>
      </c>
      <c r="E30" s="15">
        <v>2008</v>
      </c>
      <c r="F30" s="18">
        <v>19736</v>
      </c>
      <c r="G30" s="46" t="s">
        <v>120</v>
      </c>
      <c r="H30" s="46" t="s">
        <v>13</v>
      </c>
      <c r="I30" s="15">
        <v>165.483</v>
      </c>
      <c r="J30" s="47">
        <v>30212</v>
      </c>
      <c r="K30" s="47">
        <v>2499786.2000000002</v>
      </c>
      <c r="L30" s="48">
        <v>0.3</v>
      </c>
      <c r="M30" s="15" t="s">
        <v>151</v>
      </c>
      <c r="N30" s="17">
        <v>4999572.4000000004</v>
      </c>
      <c r="O30" s="40"/>
      <c r="P30" s="40">
        <v>0</v>
      </c>
      <c r="Q30" s="40">
        <v>47047.29</v>
      </c>
      <c r="R30" s="40">
        <f t="shared" ref="R30:R93" si="1">SUM(N30:Q30)</f>
        <v>5046619.6900000004</v>
      </c>
      <c r="S30"/>
    </row>
    <row r="31" spans="1:19">
      <c r="A31" s="32">
        <v>25</v>
      </c>
      <c r="B31" s="44" t="s">
        <v>15</v>
      </c>
      <c r="C31" s="45">
        <v>39638</v>
      </c>
      <c r="D31" s="15">
        <v>39966</v>
      </c>
      <c r="E31" s="15">
        <v>2008</v>
      </c>
      <c r="F31" s="18">
        <v>19737</v>
      </c>
      <c r="G31" s="46" t="s">
        <v>120</v>
      </c>
      <c r="H31" s="46" t="s">
        <v>13</v>
      </c>
      <c r="I31" s="15">
        <v>70.55</v>
      </c>
      <c r="J31" s="47">
        <v>30212</v>
      </c>
      <c r="K31" s="47">
        <v>1065728.3</v>
      </c>
      <c r="L31" s="48">
        <v>0.3</v>
      </c>
      <c r="M31" s="15" t="s">
        <v>150</v>
      </c>
      <c r="N31" s="17">
        <v>2131456.6</v>
      </c>
      <c r="O31" s="40">
        <v>1065728.3</v>
      </c>
      <c r="P31" s="40">
        <v>0</v>
      </c>
      <c r="Q31" s="40">
        <v>0</v>
      </c>
      <c r="R31" s="40">
        <f t="shared" si="1"/>
        <v>3197184.9000000004</v>
      </c>
      <c r="S31"/>
    </row>
    <row r="32" spans="1:19">
      <c r="A32" s="32">
        <v>26</v>
      </c>
      <c r="B32" s="44" t="s">
        <v>15</v>
      </c>
      <c r="C32" s="45">
        <v>39638</v>
      </c>
      <c r="D32" s="15">
        <v>39967</v>
      </c>
      <c r="E32" s="15">
        <v>2008</v>
      </c>
      <c r="F32" s="18">
        <v>19738</v>
      </c>
      <c r="G32" s="46" t="s">
        <v>120</v>
      </c>
      <c r="H32" s="46" t="s">
        <v>13</v>
      </c>
      <c r="I32" s="15">
        <v>64.989999999999995</v>
      </c>
      <c r="J32" s="47">
        <v>30212</v>
      </c>
      <c r="K32" s="47">
        <v>981738.94</v>
      </c>
      <c r="L32" s="48">
        <v>0.3</v>
      </c>
      <c r="M32" s="15" t="s">
        <v>150</v>
      </c>
      <c r="N32" s="17">
        <v>1963477.88</v>
      </c>
      <c r="O32" s="40">
        <v>0</v>
      </c>
      <c r="P32" s="40">
        <v>0</v>
      </c>
      <c r="Q32" s="40">
        <v>0</v>
      </c>
      <c r="R32" s="40">
        <f t="shared" si="1"/>
        <v>1963477.88</v>
      </c>
      <c r="S32"/>
    </row>
    <row r="33" spans="1:19">
      <c r="A33" s="32">
        <v>27</v>
      </c>
      <c r="B33" s="44" t="s">
        <v>15</v>
      </c>
      <c r="C33" s="45">
        <v>39638</v>
      </c>
      <c r="D33" s="15">
        <v>39968</v>
      </c>
      <c r="E33" s="15">
        <v>2008</v>
      </c>
      <c r="F33" s="18">
        <v>19739</v>
      </c>
      <c r="G33" s="46" t="s">
        <v>120</v>
      </c>
      <c r="H33" s="46" t="s">
        <v>13</v>
      </c>
      <c r="I33" s="15">
        <v>33.43</v>
      </c>
      <c r="J33" s="47">
        <v>30212</v>
      </c>
      <c r="K33" s="47">
        <v>504993.58</v>
      </c>
      <c r="L33" s="48">
        <v>0.3</v>
      </c>
      <c r="M33" s="15" t="s">
        <v>150</v>
      </c>
      <c r="N33" s="17">
        <v>1009987.16</v>
      </c>
      <c r="O33" s="40">
        <v>504993.58</v>
      </c>
      <c r="P33" s="40">
        <v>0</v>
      </c>
      <c r="Q33" s="40">
        <v>0</v>
      </c>
      <c r="R33" s="40">
        <f t="shared" si="1"/>
        <v>1514980.74</v>
      </c>
      <c r="S33"/>
    </row>
    <row r="34" spans="1:19">
      <c r="A34" s="32">
        <v>28</v>
      </c>
      <c r="B34" s="44" t="s">
        <v>15</v>
      </c>
      <c r="C34" s="45">
        <v>39638</v>
      </c>
      <c r="D34" s="15">
        <v>39969</v>
      </c>
      <c r="E34" s="15">
        <v>2008</v>
      </c>
      <c r="F34" s="18">
        <v>19740</v>
      </c>
      <c r="G34" s="46" t="s">
        <v>120</v>
      </c>
      <c r="H34" s="46" t="s">
        <v>13</v>
      </c>
      <c r="I34" s="15">
        <v>57.39</v>
      </c>
      <c r="J34" s="47">
        <v>30212</v>
      </c>
      <c r="K34" s="47">
        <v>866933.34</v>
      </c>
      <c r="L34" s="48">
        <v>0.3</v>
      </c>
      <c r="M34" s="15" t="s">
        <v>150</v>
      </c>
      <c r="N34" s="17">
        <v>1733866.68</v>
      </c>
      <c r="O34" s="40">
        <v>866933.34</v>
      </c>
      <c r="P34" s="40">
        <v>0</v>
      </c>
      <c r="Q34" s="40">
        <v>0</v>
      </c>
      <c r="R34" s="40">
        <f t="shared" si="1"/>
        <v>2600800.02</v>
      </c>
      <c r="S34"/>
    </row>
    <row r="35" spans="1:19">
      <c r="A35" s="32">
        <v>29</v>
      </c>
      <c r="B35" s="44" t="s">
        <v>9</v>
      </c>
      <c r="C35" s="45">
        <v>39638</v>
      </c>
      <c r="D35" s="15">
        <v>39970</v>
      </c>
      <c r="E35" s="15">
        <v>2008</v>
      </c>
      <c r="F35" s="18">
        <v>19741</v>
      </c>
      <c r="G35" s="46" t="s">
        <v>132</v>
      </c>
      <c r="H35" s="46" t="s">
        <v>13</v>
      </c>
      <c r="I35" s="15">
        <v>1045</v>
      </c>
      <c r="J35" s="47">
        <v>27512</v>
      </c>
      <c r="K35" s="47">
        <v>14375020</v>
      </c>
      <c r="L35" s="48">
        <v>0.27500000000000002</v>
      </c>
      <c r="M35" s="15" t="s">
        <v>151</v>
      </c>
      <c r="N35" s="17">
        <v>28750040</v>
      </c>
      <c r="O35" s="40">
        <v>0</v>
      </c>
      <c r="P35" s="40">
        <v>0</v>
      </c>
      <c r="Q35" s="40">
        <v>3078419.59</v>
      </c>
      <c r="R35" s="40">
        <f t="shared" si="1"/>
        <v>31828459.59</v>
      </c>
      <c r="S35"/>
    </row>
    <row r="36" spans="1:19">
      <c r="A36" s="32">
        <v>30</v>
      </c>
      <c r="B36" s="33" t="s">
        <v>15</v>
      </c>
      <c r="C36" s="34">
        <v>39673</v>
      </c>
      <c r="D36" s="27">
        <v>40010</v>
      </c>
      <c r="E36" s="15">
        <v>2008</v>
      </c>
      <c r="F36" s="32">
        <v>19750</v>
      </c>
      <c r="G36" s="35" t="s">
        <v>243</v>
      </c>
      <c r="H36" s="35" t="s">
        <v>13</v>
      </c>
      <c r="I36" s="27">
        <v>65</v>
      </c>
      <c r="J36" s="36">
        <v>20000</v>
      </c>
      <c r="K36" s="36">
        <v>650000</v>
      </c>
      <c r="L36" s="37">
        <v>0.26</v>
      </c>
      <c r="M36" s="15" t="s">
        <v>150</v>
      </c>
      <c r="N36" s="40">
        <v>1300000</v>
      </c>
      <c r="O36" s="40">
        <v>0</v>
      </c>
      <c r="P36" s="40">
        <v>0</v>
      </c>
      <c r="Q36" s="40">
        <v>0</v>
      </c>
      <c r="R36" s="40">
        <f t="shared" si="1"/>
        <v>1300000</v>
      </c>
      <c r="S36"/>
    </row>
    <row r="37" spans="1:19">
      <c r="A37" s="32">
        <v>31</v>
      </c>
      <c r="B37" s="33" t="s">
        <v>15</v>
      </c>
      <c r="C37" s="34">
        <v>39673</v>
      </c>
      <c r="D37" s="27">
        <v>40011</v>
      </c>
      <c r="E37" s="15">
        <v>2008</v>
      </c>
      <c r="F37" s="32">
        <v>19751</v>
      </c>
      <c r="G37" s="35" t="s">
        <v>243</v>
      </c>
      <c r="H37" s="35" t="s">
        <v>89</v>
      </c>
      <c r="I37" s="27">
        <v>266</v>
      </c>
      <c r="J37" s="36">
        <v>25000</v>
      </c>
      <c r="K37" s="36">
        <v>3325000</v>
      </c>
      <c r="L37" s="37">
        <v>0.25</v>
      </c>
      <c r="M37" s="15" t="s">
        <v>150</v>
      </c>
      <c r="N37" s="40">
        <v>6650000</v>
      </c>
      <c r="O37" s="40">
        <v>0</v>
      </c>
      <c r="P37" s="40">
        <v>0</v>
      </c>
      <c r="Q37" s="40">
        <v>0</v>
      </c>
      <c r="R37" s="40">
        <f t="shared" si="1"/>
        <v>6650000</v>
      </c>
    </row>
    <row r="38" spans="1:19">
      <c r="A38" s="32">
        <v>32</v>
      </c>
      <c r="B38" s="33" t="s">
        <v>15</v>
      </c>
      <c r="C38" s="34">
        <v>39673</v>
      </c>
      <c r="D38" s="27">
        <v>40012</v>
      </c>
      <c r="E38" s="15">
        <v>2008</v>
      </c>
      <c r="F38" s="32">
        <v>19752</v>
      </c>
      <c r="G38" s="35" t="s">
        <v>243</v>
      </c>
      <c r="H38" s="35" t="s">
        <v>89</v>
      </c>
      <c r="I38" s="27">
        <v>805</v>
      </c>
      <c r="J38" s="36">
        <v>25000</v>
      </c>
      <c r="K38" s="36">
        <v>10062500</v>
      </c>
      <c r="L38" s="37">
        <v>0.25</v>
      </c>
      <c r="M38" s="15" t="s">
        <v>150</v>
      </c>
      <c r="N38" s="40">
        <v>20125000</v>
      </c>
      <c r="O38" s="40">
        <v>0</v>
      </c>
      <c r="P38" s="40">
        <v>0</v>
      </c>
      <c r="Q38" s="40">
        <v>0</v>
      </c>
      <c r="R38" s="40">
        <f t="shared" si="1"/>
        <v>20125000</v>
      </c>
    </row>
    <row r="39" spans="1:19">
      <c r="A39" s="32">
        <v>33</v>
      </c>
      <c r="B39" s="33" t="s">
        <v>29</v>
      </c>
      <c r="C39" s="34">
        <v>39673</v>
      </c>
      <c r="D39" s="27">
        <v>40013</v>
      </c>
      <c r="E39" s="15">
        <v>2008</v>
      </c>
      <c r="F39" s="32">
        <v>19753</v>
      </c>
      <c r="G39" s="35" t="s">
        <v>243</v>
      </c>
      <c r="H39" s="35" t="s">
        <v>79</v>
      </c>
      <c r="I39" s="27">
        <v>3</v>
      </c>
      <c r="J39" s="36">
        <v>18500</v>
      </c>
      <c r="K39" s="36">
        <v>27750</v>
      </c>
      <c r="L39" s="37">
        <v>0.25</v>
      </c>
      <c r="M39" s="15" t="s">
        <v>152</v>
      </c>
      <c r="N39" s="40">
        <v>55500</v>
      </c>
      <c r="O39" s="40">
        <v>27750</v>
      </c>
      <c r="P39" s="40">
        <v>0</v>
      </c>
      <c r="Q39" s="40">
        <v>0</v>
      </c>
      <c r="R39" s="40">
        <f t="shared" si="1"/>
        <v>83250</v>
      </c>
      <c r="S39" s="11" t="s">
        <v>238</v>
      </c>
    </row>
    <row r="40" spans="1:19">
      <c r="A40" s="32">
        <v>34</v>
      </c>
      <c r="B40" s="33" t="s">
        <v>29</v>
      </c>
      <c r="C40" s="34">
        <v>39673</v>
      </c>
      <c r="D40" s="27">
        <v>40014</v>
      </c>
      <c r="E40" s="15">
        <v>2008</v>
      </c>
      <c r="F40" s="32">
        <v>19754</v>
      </c>
      <c r="G40" s="35" t="s">
        <v>243</v>
      </c>
      <c r="H40" s="35" t="s">
        <v>89</v>
      </c>
      <c r="I40" s="27">
        <v>60</v>
      </c>
      <c r="J40" s="36">
        <v>25000</v>
      </c>
      <c r="K40" s="36">
        <v>750000</v>
      </c>
      <c r="L40" s="37">
        <v>0.25</v>
      </c>
      <c r="M40" s="15" t="s">
        <v>150</v>
      </c>
      <c r="N40" s="40">
        <v>1500000</v>
      </c>
      <c r="O40" s="40">
        <v>0</v>
      </c>
      <c r="P40" s="40">
        <v>0</v>
      </c>
      <c r="Q40" s="40">
        <v>0</v>
      </c>
      <c r="R40" s="40">
        <f t="shared" si="1"/>
        <v>1500000</v>
      </c>
    </row>
    <row r="41" spans="1:19">
      <c r="A41" s="32">
        <v>35</v>
      </c>
      <c r="B41" s="33" t="s">
        <v>29</v>
      </c>
      <c r="C41" s="34">
        <v>39673</v>
      </c>
      <c r="D41" s="27">
        <v>40017</v>
      </c>
      <c r="E41" s="15">
        <v>2008</v>
      </c>
      <c r="F41" s="32">
        <v>19755</v>
      </c>
      <c r="G41" s="35" t="s">
        <v>243</v>
      </c>
      <c r="H41" s="35" t="s">
        <v>89</v>
      </c>
      <c r="I41" s="27">
        <v>96</v>
      </c>
      <c r="J41" s="36">
        <v>25000</v>
      </c>
      <c r="K41" s="36">
        <v>1200000</v>
      </c>
      <c r="L41" s="37">
        <v>0.25</v>
      </c>
      <c r="M41" s="15" t="s">
        <v>150</v>
      </c>
      <c r="N41" s="40">
        <v>2400000</v>
      </c>
      <c r="O41" s="40">
        <v>0</v>
      </c>
      <c r="P41" s="40">
        <v>0</v>
      </c>
      <c r="Q41" s="40">
        <v>0</v>
      </c>
      <c r="R41" s="40">
        <f t="shared" si="1"/>
        <v>2400000</v>
      </c>
    </row>
    <row r="42" spans="1:19">
      <c r="A42" s="32">
        <v>36</v>
      </c>
      <c r="B42" s="33" t="s">
        <v>29</v>
      </c>
      <c r="C42" s="34">
        <v>39673</v>
      </c>
      <c r="D42" s="27">
        <v>40019</v>
      </c>
      <c r="E42" s="15">
        <v>2008</v>
      </c>
      <c r="F42" s="32">
        <v>19756</v>
      </c>
      <c r="G42" s="35" t="s">
        <v>243</v>
      </c>
      <c r="H42" s="35" t="s">
        <v>13</v>
      </c>
      <c r="I42" s="27">
        <v>30</v>
      </c>
      <c r="J42" s="36">
        <v>25000</v>
      </c>
      <c r="K42" s="36">
        <v>375000</v>
      </c>
      <c r="L42" s="37">
        <v>0.26500000000000001</v>
      </c>
      <c r="M42" s="15" t="s">
        <v>151</v>
      </c>
      <c r="N42" s="40">
        <v>750000</v>
      </c>
      <c r="O42" s="40">
        <f>375000+172500</f>
        <v>547500</v>
      </c>
      <c r="P42" s="17">
        <v>0</v>
      </c>
      <c r="Q42" s="17">
        <v>19216.36</v>
      </c>
      <c r="R42" s="40">
        <f t="shared" si="1"/>
        <v>1316716.3600000001</v>
      </c>
    </row>
    <row r="43" spans="1:19">
      <c r="A43" s="32">
        <v>37</v>
      </c>
      <c r="B43" s="33" t="s">
        <v>15</v>
      </c>
      <c r="C43" s="34">
        <v>39673</v>
      </c>
      <c r="D43" s="27">
        <v>40020</v>
      </c>
      <c r="E43" s="15">
        <v>2008</v>
      </c>
      <c r="F43" s="32">
        <v>19757</v>
      </c>
      <c r="G43" s="35" t="s">
        <v>243</v>
      </c>
      <c r="H43" s="35" t="s">
        <v>13</v>
      </c>
      <c r="I43" s="27">
        <v>10</v>
      </c>
      <c r="J43" s="36">
        <v>16550</v>
      </c>
      <c r="K43" s="36">
        <v>82750</v>
      </c>
      <c r="L43" s="37">
        <v>0.25</v>
      </c>
      <c r="M43" s="15" t="s">
        <v>151</v>
      </c>
      <c r="N43" s="40">
        <v>165500</v>
      </c>
      <c r="O43" s="40">
        <f>82750+49650</f>
        <v>132400</v>
      </c>
      <c r="P43" s="17">
        <v>0</v>
      </c>
      <c r="Q43" s="17">
        <v>3732.77</v>
      </c>
      <c r="R43" s="40">
        <f t="shared" si="1"/>
        <v>301632.77</v>
      </c>
    </row>
    <row r="44" spans="1:19">
      <c r="A44" s="32">
        <v>38</v>
      </c>
      <c r="B44" s="39" t="s">
        <v>11</v>
      </c>
      <c r="C44" s="34">
        <v>39673</v>
      </c>
      <c r="D44" s="27">
        <v>40021</v>
      </c>
      <c r="E44" s="15">
        <v>2008</v>
      </c>
      <c r="F44" s="32">
        <v>19758</v>
      </c>
      <c r="G44" s="35" t="s">
        <v>243</v>
      </c>
      <c r="H44" s="35" t="s">
        <v>13</v>
      </c>
      <c r="I44" s="27">
        <v>204</v>
      </c>
      <c r="J44" s="36">
        <v>18500</v>
      </c>
      <c r="K44" s="36">
        <v>1887000</v>
      </c>
      <c r="L44" s="37">
        <v>0.3</v>
      </c>
      <c r="M44" s="15" t="s">
        <v>151</v>
      </c>
      <c r="N44" s="40">
        <v>3774000</v>
      </c>
      <c r="O44" s="40">
        <v>0</v>
      </c>
      <c r="P44" s="17">
        <v>0</v>
      </c>
      <c r="Q44" s="17">
        <v>369778.59</v>
      </c>
      <c r="R44" s="40">
        <f t="shared" si="1"/>
        <v>4143778.59</v>
      </c>
    </row>
    <row r="45" spans="1:19">
      <c r="A45" s="32">
        <v>39</v>
      </c>
      <c r="B45" s="33" t="s">
        <v>29</v>
      </c>
      <c r="C45" s="34">
        <v>39673</v>
      </c>
      <c r="D45" s="27">
        <v>40023</v>
      </c>
      <c r="E45" s="15">
        <v>2008</v>
      </c>
      <c r="F45" s="32">
        <v>19759</v>
      </c>
      <c r="G45" s="35" t="s">
        <v>243</v>
      </c>
      <c r="H45" s="35" t="s">
        <v>13</v>
      </c>
      <c r="I45" s="27">
        <v>34</v>
      </c>
      <c r="J45" s="36">
        <v>27500</v>
      </c>
      <c r="K45" s="36">
        <v>467500</v>
      </c>
      <c r="L45" s="37">
        <v>0.27500000000000002</v>
      </c>
      <c r="M45" s="15" t="s">
        <v>151</v>
      </c>
      <c r="N45" s="40">
        <v>935000</v>
      </c>
      <c r="O45" s="40">
        <v>467500</v>
      </c>
      <c r="P45" s="17">
        <v>0</v>
      </c>
      <c r="Q45" s="17">
        <v>168865.61</v>
      </c>
      <c r="R45" s="40">
        <f t="shared" si="1"/>
        <v>1571365.6099999999</v>
      </c>
    </row>
    <row r="46" spans="1:19">
      <c r="A46" s="32">
        <v>40</v>
      </c>
      <c r="B46" s="39" t="s">
        <v>90</v>
      </c>
      <c r="C46" s="34">
        <v>39673</v>
      </c>
      <c r="D46" s="27">
        <v>40024</v>
      </c>
      <c r="E46" s="15">
        <v>2008</v>
      </c>
      <c r="F46" s="32">
        <v>19760</v>
      </c>
      <c r="G46" s="35" t="s">
        <v>243</v>
      </c>
      <c r="H46" s="35" t="s">
        <v>13</v>
      </c>
      <c r="I46" s="27">
        <v>50</v>
      </c>
      <c r="J46" s="36">
        <v>20000</v>
      </c>
      <c r="K46" s="36">
        <v>500000</v>
      </c>
      <c r="L46" s="37">
        <v>0.26</v>
      </c>
      <c r="M46" s="15" t="s">
        <v>151</v>
      </c>
      <c r="N46" s="40">
        <v>1000000</v>
      </c>
      <c r="O46" s="40">
        <f>500000+413000</f>
        <v>913000</v>
      </c>
      <c r="P46" s="17">
        <v>0</v>
      </c>
      <c r="Q46" s="17">
        <v>24825.98</v>
      </c>
      <c r="R46" s="40">
        <f t="shared" si="1"/>
        <v>1937825.98</v>
      </c>
    </row>
    <row r="47" spans="1:19">
      <c r="A47" s="32">
        <v>41</v>
      </c>
      <c r="B47" s="39" t="s">
        <v>11</v>
      </c>
      <c r="C47" s="34">
        <v>39673</v>
      </c>
      <c r="D47" s="27">
        <v>40025</v>
      </c>
      <c r="E47" s="15">
        <v>2008</v>
      </c>
      <c r="F47" s="32">
        <v>19761</v>
      </c>
      <c r="G47" s="35" t="s">
        <v>243</v>
      </c>
      <c r="H47" s="35" t="s">
        <v>13</v>
      </c>
      <c r="I47" s="27">
        <v>192</v>
      </c>
      <c r="J47" s="36">
        <v>18500</v>
      </c>
      <c r="K47" s="36">
        <v>1776000</v>
      </c>
      <c r="L47" s="37">
        <v>0.3</v>
      </c>
      <c r="M47" s="15" t="s">
        <v>151</v>
      </c>
      <c r="N47" s="40">
        <v>3552000</v>
      </c>
      <c r="O47" s="40">
        <f>83250+83250</f>
        <v>166500</v>
      </c>
      <c r="P47" s="17">
        <v>0.62</v>
      </c>
      <c r="Q47" s="17">
        <v>1787994.44</v>
      </c>
      <c r="R47" s="40">
        <f t="shared" si="1"/>
        <v>5506495.0600000005</v>
      </c>
    </row>
    <row r="48" spans="1:19">
      <c r="A48" s="32">
        <v>42</v>
      </c>
      <c r="B48" s="39" t="s">
        <v>90</v>
      </c>
      <c r="C48" s="34">
        <v>39673</v>
      </c>
      <c r="D48" s="27">
        <v>40026</v>
      </c>
      <c r="E48" s="15">
        <v>2008</v>
      </c>
      <c r="F48" s="32">
        <v>19762</v>
      </c>
      <c r="G48" s="35" t="s">
        <v>243</v>
      </c>
      <c r="H48" s="35" t="s">
        <v>13</v>
      </c>
      <c r="I48" s="27">
        <v>105</v>
      </c>
      <c r="J48" s="36">
        <v>27500</v>
      </c>
      <c r="K48" s="36">
        <v>1443750</v>
      </c>
      <c r="L48" s="37">
        <v>0.27500000000000002</v>
      </c>
      <c r="M48" s="15" t="s">
        <v>151</v>
      </c>
      <c r="N48" s="40">
        <v>2887500</v>
      </c>
      <c r="O48" s="40">
        <f>1443750+1377750</f>
        <v>2821500</v>
      </c>
      <c r="P48" s="17">
        <v>0</v>
      </c>
      <c r="Q48" s="17">
        <v>5773.7</v>
      </c>
      <c r="R48" s="40">
        <f t="shared" si="1"/>
        <v>5714773.7000000002</v>
      </c>
    </row>
    <row r="49" spans="1:19">
      <c r="A49" s="32">
        <v>43</v>
      </c>
      <c r="B49" s="58" t="s">
        <v>91</v>
      </c>
      <c r="C49" s="34">
        <v>39673</v>
      </c>
      <c r="D49" s="27">
        <v>40027</v>
      </c>
      <c r="E49" s="15">
        <v>2008</v>
      </c>
      <c r="F49" s="32">
        <v>19763</v>
      </c>
      <c r="G49" s="35" t="s">
        <v>243</v>
      </c>
      <c r="H49" s="35" t="s">
        <v>13</v>
      </c>
      <c r="I49" s="27">
        <v>138</v>
      </c>
      <c r="J49" s="36">
        <v>18500</v>
      </c>
      <c r="K49" s="36">
        <v>1276500</v>
      </c>
      <c r="L49" s="37">
        <v>0.3</v>
      </c>
      <c r="M49" s="15" t="s">
        <v>151</v>
      </c>
      <c r="N49" s="40">
        <v>2553000</v>
      </c>
      <c r="O49" s="40">
        <f>305250+185000</f>
        <v>490250</v>
      </c>
      <c r="P49" s="17">
        <v>0</v>
      </c>
      <c r="Q49" s="17">
        <v>254041.42</v>
      </c>
      <c r="R49" s="40">
        <f t="shared" si="1"/>
        <v>3297291.42</v>
      </c>
    </row>
    <row r="50" spans="1:19">
      <c r="A50" s="32">
        <v>44</v>
      </c>
      <c r="B50" s="39" t="s">
        <v>11</v>
      </c>
      <c r="C50" s="34">
        <v>39673</v>
      </c>
      <c r="D50" s="27">
        <v>40028</v>
      </c>
      <c r="E50" s="15">
        <v>2008</v>
      </c>
      <c r="F50" s="32">
        <v>19764</v>
      </c>
      <c r="G50" s="35" t="s">
        <v>243</v>
      </c>
      <c r="H50" s="35" t="s">
        <v>13</v>
      </c>
      <c r="I50" s="27">
        <v>401</v>
      </c>
      <c r="J50" s="36">
        <v>27500</v>
      </c>
      <c r="K50" s="36">
        <v>5513750</v>
      </c>
      <c r="L50" s="37">
        <v>0.27500000000000002</v>
      </c>
      <c r="M50" s="15" t="s">
        <v>151</v>
      </c>
      <c r="N50" s="40">
        <v>11027500</v>
      </c>
      <c r="O50" s="40">
        <f>288750+10025</f>
        <v>298775</v>
      </c>
      <c r="P50" s="17">
        <v>0</v>
      </c>
      <c r="Q50" s="17">
        <v>1654940.24</v>
      </c>
      <c r="R50" s="40">
        <f t="shared" si="1"/>
        <v>12981215.24</v>
      </c>
    </row>
    <row r="51" spans="1:19">
      <c r="A51" s="32">
        <v>45</v>
      </c>
      <c r="B51" s="58" t="s">
        <v>91</v>
      </c>
      <c r="C51" s="34">
        <v>39673</v>
      </c>
      <c r="D51" s="27">
        <v>40029</v>
      </c>
      <c r="E51" s="15">
        <v>2008</v>
      </c>
      <c r="F51" s="32">
        <v>19765</v>
      </c>
      <c r="G51" s="35" t="s">
        <v>243</v>
      </c>
      <c r="H51" s="35" t="s">
        <v>89</v>
      </c>
      <c r="I51" s="27">
        <v>549</v>
      </c>
      <c r="J51" s="36">
        <v>20500</v>
      </c>
      <c r="K51" s="36">
        <v>5627250</v>
      </c>
      <c r="L51" s="37">
        <v>0.25</v>
      </c>
      <c r="M51" s="15" t="s">
        <v>151</v>
      </c>
      <c r="N51" s="40">
        <v>11254500</v>
      </c>
      <c r="O51" s="40">
        <v>0</v>
      </c>
      <c r="P51" s="17">
        <v>0</v>
      </c>
      <c r="Q51" s="17">
        <v>365523.28</v>
      </c>
      <c r="R51" s="40">
        <f t="shared" si="1"/>
        <v>11620023.279999999</v>
      </c>
    </row>
    <row r="52" spans="1:19">
      <c r="A52" s="32">
        <v>46</v>
      </c>
      <c r="B52" s="41" t="s">
        <v>24</v>
      </c>
      <c r="C52" s="34">
        <v>39673</v>
      </c>
      <c r="D52" s="27">
        <v>40030</v>
      </c>
      <c r="E52" s="15">
        <v>2008</v>
      </c>
      <c r="F52" s="32">
        <v>19766</v>
      </c>
      <c r="G52" s="35" t="s">
        <v>243</v>
      </c>
      <c r="H52" s="35" t="s">
        <v>13</v>
      </c>
      <c r="I52" s="27">
        <v>31</v>
      </c>
      <c r="J52" s="36">
        <v>27500</v>
      </c>
      <c r="K52" s="36">
        <v>426250</v>
      </c>
      <c r="L52" s="37">
        <v>0.27500000000000002</v>
      </c>
      <c r="M52" s="15" t="s">
        <v>151</v>
      </c>
      <c r="N52" s="40">
        <v>852500</v>
      </c>
      <c r="O52" s="40">
        <v>180125</v>
      </c>
      <c r="P52" s="17">
        <v>68.040000000000006</v>
      </c>
      <c r="Q52" s="17">
        <v>77992.69</v>
      </c>
      <c r="R52" s="40">
        <f t="shared" si="1"/>
        <v>1110685.73</v>
      </c>
    </row>
    <row r="53" spans="1:19">
      <c r="A53" s="32">
        <v>47</v>
      </c>
      <c r="B53" s="39" t="s">
        <v>36</v>
      </c>
      <c r="C53" s="34">
        <v>39673</v>
      </c>
      <c r="D53" s="27">
        <v>40031</v>
      </c>
      <c r="E53" s="15">
        <v>2008</v>
      </c>
      <c r="F53" s="32">
        <v>19767</v>
      </c>
      <c r="G53" s="35" t="s">
        <v>243</v>
      </c>
      <c r="H53" s="35" t="s">
        <v>79</v>
      </c>
      <c r="I53" s="27">
        <v>14</v>
      </c>
      <c r="J53" s="36">
        <v>18500</v>
      </c>
      <c r="K53" s="36">
        <v>129500</v>
      </c>
      <c r="L53" s="37">
        <v>0.25</v>
      </c>
      <c r="M53" s="15" t="s">
        <v>152</v>
      </c>
      <c r="N53" s="40">
        <v>259000</v>
      </c>
      <c r="O53" s="40">
        <f>500+114700+500-500+500+29507.5+500</f>
        <v>145707.5</v>
      </c>
      <c r="P53" s="17">
        <v>0</v>
      </c>
      <c r="Q53" s="17">
        <v>0</v>
      </c>
      <c r="R53" s="40">
        <f t="shared" si="1"/>
        <v>404707.5</v>
      </c>
      <c r="S53" s="11" t="s">
        <v>238</v>
      </c>
    </row>
    <row r="54" spans="1:19">
      <c r="A54" s="32">
        <v>48</v>
      </c>
      <c r="B54" s="39" t="s">
        <v>36</v>
      </c>
      <c r="C54" s="34">
        <v>39673</v>
      </c>
      <c r="D54" s="27">
        <v>40032</v>
      </c>
      <c r="E54" s="15">
        <v>2008</v>
      </c>
      <c r="F54" s="32">
        <v>19768</v>
      </c>
      <c r="G54" s="35" t="s">
        <v>243</v>
      </c>
      <c r="H54" s="35" t="s">
        <v>79</v>
      </c>
      <c r="I54" s="27">
        <v>8</v>
      </c>
      <c r="J54" s="36">
        <v>18500</v>
      </c>
      <c r="K54" s="36">
        <v>74000</v>
      </c>
      <c r="L54" s="37">
        <v>0.25</v>
      </c>
      <c r="M54" s="15" t="s">
        <v>151</v>
      </c>
      <c r="N54" s="40">
        <v>148000</v>
      </c>
      <c r="O54" s="40">
        <v>9250</v>
      </c>
      <c r="P54" s="17">
        <v>0</v>
      </c>
      <c r="Q54" s="17">
        <v>11148.26</v>
      </c>
      <c r="R54" s="40">
        <f t="shared" si="1"/>
        <v>168398.26</v>
      </c>
    </row>
    <row r="55" spans="1:19">
      <c r="A55" s="32">
        <v>49</v>
      </c>
      <c r="B55" s="33" t="s">
        <v>19</v>
      </c>
      <c r="C55" s="34">
        <v>39673</v>
      </c>
      <c r="D55" s="27">
        <v>40033</v>
      </c>
      <c r="E55" s="15">
        <v>2008</v>
      </c>
      <c r="F55" s="32">
        <v>19769</v>
      </c>
      <c r="G55" s="35" t="s">
        <v>243</v>
      </c>
      <c r="H55" s="35" t="s">
        <v>89</v>
      </c>
      <c r="I55" s="27">
        <v>420</v>
      </c>
      <c r="J55" s="36">
        <v>20500</v>
      </c>
      <c r="K55" s="36">
        <v>4305000</v>
      </c>
      <c r="L55" s="37">
        <v>0.25</v>
      </c>
      <c r="M55" s="15" t="s">
        <v>151</v>
      </c>
      <c r="N55" s="40">
        <v>8610000</v>
      </c>
      <c r="O55" s="40">
        <v>0</v>
      </c>
      <c r="P55" s="17">
        <v>0</v>
      </c>
      <c r="Q55" s="17">
        <v>601365.23</v>
      </c>
      <c r="R55" s="40">
        <f t="shared" si="1"/>
        <v>9211365.2300000004</v>
      </c>
    </row>
    <row r="56" spans="1:19">
      <c r="A56" s="32">
        <v>50</v>
      </c>
      <c r="B56" s="39" t="s">
        <v>36</v>
      </c>
      <c r="C56" s="34">
        <v>39673</v>
      </c>
      <c r="D56" s="27">
        <v>40034</v>
      </c>
      <c r="E56" s="15">
        <v>2008</v>
      </c>
      <c r="F56" s="32">
        <v>19770</v>
      </c>
      <c r="G56" s="35" t="s">
        <v>243</v>
      </c>
      <c r="H56" s="35" t="s">
        <v>79</v>
      </c>
      <c r="I56" s="27">
        <v>14</v>
      </c>
      <c r="J56" s="36">
        <v>18500</v>
      </c>
      <c r="K56" s="36">
        <v>129500</v>
      </c>
      <c r="L56" s="37">
        <v>0.25</v>
      </c>
      <c r="M56" s="15" t="s">
        <v>153</v>
      </c>
      <c r="N56" s="40">
        <v>259000</v>
      </c>
      <c r="O56" s="40">
        <f>129500+129500</f>
        <v>259000</v>
      </c>
      <c r="P56" s="40">
        <v>0</v>
      </c>
      <c r="Q56" s="40">
        <v>0</v>
      </c>
      <c r="R56" s="40">
        <f t="shared" si="1"/>
        <v>518000</v>
      </c>
    </row>
    <row r="57" spans="1:19">
      <c r="A57" s="32">
        <v>51</v>
      </c>
      <c r="B57" s="44" t="s">
        <v>9</v>
      </c>
      <c r="C57" s="45">
        <v>39673</v>
      </c>
      <c r="D57" s="15">
        <v>40048</v>
      </c>
      <c r="E57" s="15">
        <v>2008</v>
      </c>
      <c r="F57" s="18">
        <v>19779</v>
      </c>
      <c r="G57" s="46" t="s">
        <v>126</v>
      </c>
      <c r="H57" s="46" t="s">
        <v>79</v>
      </c>
      <c r="I57" s="15">
        <v>212</v>
      </c>
      <c r="J57" s="47">
        <v>18500</v>
      </c>
      <c r="K57" s="47">
        <v>1961000</v>
      </c>
      <c r="L57" s="48">
        <v>0.25</v>
      </c>
      <c r="M57" s="15" t="s">
        <v>151</v>
      </c>
      <c r="N57" s="17">
        <v>3922000</v>
      </c>
      <c r="O57" s="40">
        <v>0</v>
      </c>
      <c r="P57" s="40">
        <v>0</v>
      </c>
      <c r="Q57" s="40">
        <v>574586.81000000006</v>
      </c>
      <c r="R57" s="40">
        <f t="shared" si="1"/>
        <v>4496586.8100000005</v>
      </c>
      <c r="S57"/>
    </row>
    <row r="58" spans="1:19">
      <c r="A58" s="32">
        <v>52</v>
      </c>
      <c r="B58" s="44" t="s">
        <v>9</v>
      </c>
      <c r="C58" s="45">
        <v>39673</v>
      </c>
      <c r="D58" s="15">
        <v>40049</v>
      </c>
      <c r="E58" s="15">
        <v>2008</v>
      </c>
      <c r="F58" s="18">
        <v>19780</v>
      </c>
      <c r="G58" s="46" t="s">
        <v>126</v>
      </c>
      <c r="H58" s="46" t="s">
        <v>14</v>
      </c>
      <c r="I58" s="15">
        <v>0.14000000000000001</v>
      </c>
      <c r="J58" s="47">
        <v>19285.71</v>
      </c>
      <c r="K58" s="47">
        <v>1350</v>
      </c>
      <c r="L58" s="48">
        <v>0.3</v>
      </c>
      <c r="M58" s="15" t="s">
        <v>151</v>
      </c>
      <c r="N58" s="17">
        <v>2700</v>
      </c>
      <c r="O58" s="40">
        <v>1350</v>
      </c>
      <c r="P58" s="40">
        <v>0</v>
      </c>
      <c r="Q58" s="40">
        <v>22107.84</v>
      </c>
      <c r="R58" s="40">
        <f t="shared" si="1"/>
        <v>26157.84</v>
      </c>
      <c r="S58"/>
    </row>
    <row r="59" spans="1:19">
      <c r="A59" s="32">
        <v>53</v>
      </c>
      <c r="B59" s="33" t="s">
        <v>29</v>
      </c>
      <c r="C59" s="34">
        <v>39673</v>
      </c>
      <c r="D59" s="27">
        <v>40052</v>
      </c>
      <c r="E59" s="15">
        <v>2008</v>
      </c>
      <c r="F59" s="32">
        <v>19782</v>
      </c>
      <c r="G59" s="35" t="s">
        <v>243</v>
      </c>
      <c r="H59" s="35" t="s">
        <v>13</v>
      </c>
      <c r="I59" s="27">
        <v>0.56000000000000005</v>
      </c>
      <c r="J59" s="36">
        <v>27500</v>
      </c>
      <c r="K59" s="36">
        <v>7700</v>
      </c>
      <c r="L59" s="37">
        <v>0.27500000000000002</v>
      </c>
      <c r="M59" s="15" t="s">
        <v>151</v>
      </c>
      <c r="N59" s="40">
        <v>15400</v>
      </c>
      <c r="O59" s="17">
        <v>0</v>
      </c>
      <c r="P59" s="17">
        <v>0</v>
      </c>
      <c r="Q59" s="17">
        <v>3379.43</v>
      </c>
      <c r="R59" s="40">
        <f t="shared" si="1"/>
        <v>18779.43</v>
      </c>
      <c r="S59"/>
    </row>
    <row r="60" spans="1:19">
      <c r="A60" s="32">
        <v>54</v>
      </c>
      <c r="B60" s="33" t="s">
        <v>29</v>
      </c>
      <c r="C60" s="34">
        <v>39673</v>
      </c>
      <c r="D60" s="27">
        <v>40056</v>
      </c>
      <c r="E60" s="15">
        <v>2008</v>
      </c>
      <c r="F60" s="32">
        <v>19786</v>
      </c>
      <c r="G60" s="35" t="s">
        <v>243</v>
      </c>
      <c r="H60" s="35" t="s">
        <v>13</v>
      </c>
      <c r="I60" s="27">
        <v>90</v>
      </c>
      <c r="J60" s="36">
        <v>27500</v>
      </c>
      <c r="K60" s="36">
        <v>1237500</v>
      </c>
      <c r="L60" s="37">
        <v>0.27500000000000002</v>
      </c>
      <c r="M60" s="15" t="s">
        <v>151</v>
      </c>
      <c r="N60" s="40">
        <v>2475000</v>
      </c>
      <c r="O60" s="40">
        <v>0</v>
      </c>
      <c r="P60" s="17">
        <v>0</v>
      </c>
      <c r="Q60" s="17">
        <v>395841.41</v>
      </c>
      <c r="R60" s="40">
        <f t="shared" si="1"/>
        <v>2870841.41</v>
      </c>
      <c r="S60"/>
    </row>
    <row r="61" spans="1:19">
      <c r="A61" s="32">
        <v>55</v>
      </c>
      <c r="B61" s="33" t="s">
        <v>29</v>
      </c>
      <c r="C61" s="34">
        <v>39673</v>
      </c>
      <c r="D61" s="27">
        <v>40057</v>
      </c>
      <c r="E61" s="15">
        <v>2008</v>
      </c>
      <c r="F61" s="32">
        <v>19787</v>
      </c>
      <c r="G61" s="35" t="s">
        <v>243</v>
      </c>
      <c r="H61" s="35" t="s">
        <v>79</v>
      </c>
      <c r="I61" s="27">
        <v>29.32</v>
      </c>
      <c r="J61" s="36">
        <v>18500</v>
      </c>
      <c r="K61" s="36">
        <v>271210</v>
      </c>
      <c r="L61" s="37">
        <v>0.25</v>
      </c>
      <c r="M61" s="15" t="s">
        <v>153</v>
      </c>
      <c r="N61" s="40">
        <v>542420</v>
      </c>
      <c r="O61" s="40">
        <f>271210+271210</f>
        <v>542420</v>
      </c>
      <c r="P61" s="40">
        <v>0</v>
      </c>
      <c r="Q61" s="40">
        <v>0</v>
      </c>
      <c r="R61" s="40">
        <f t="shared" si="1"/>
        <v>1084840</v>
      </c>
      <c r="S61"/>
    </row>
    <row r="62" spans="1:19">
      <c r="A62" s="32">
        <v>56</v>
      </c>
      <c r="B62" s="33" t="s">
        <v>29</v>
      </c>
      <c r="C62" s="34">
        <v>39673</v>
      </c>
      <c r="D62" s="27">
        <v>40058</v>
      </c>
      <c r="E62" s="15">
        <v>2008</v>
      </c>
      <c r="F62" s="32">
        <v>19788</v>
      </c>
      <c r="G62" s="35" t="s">
        <v>243</v>
      </c>
      <c r="H62" s="35" t="s">
        <v>13</v>
      </c>
      <c r="I62" s="27">
        <v>41.23</v>
      </c>
      <c r="J62" s="36">
        <v>25000</v>
      </c>
      <c r="K62" s="36">
        <v>515375</v>
      </c>
      <c r="L62" s="37">
        <v>0.26</v>
      </c>
      <c r="M62" s="15" t="s">
        <v>151</v>
      </c>
      <c r="N62" s="40">
        <v>1030750</v>
      </c>
      <c r="O62" s="40">
        <v>515375</v>
      </c>
      <c r="P62" s="40">
        <v>0</v>
      </c>
      <c r="Q62" s="40">
        <v>10312.75</v>
      </c>
      <c r="R62" s="40">
        <f t="shared" si="1"/>
        <v>1556437.75</v>
      </c>
      <c r="S62"/>
    </row>
    <row r="63" spans="1:19">
      <c r="A63" s="32">
        <v>57</v>
      </c>
      <c r="B63" s="33" t="s">
        <v>29</v>
      </c>
      <c r="C63" s="34">
        <v>39673</v>
      </c>
      <c r="D63" s="27">
        <v>40059</v>
      </c>
      <c r="E63" s="15">
        <v>2008</v>
      </c>
      <c r="F63" s="32">
        <v>19789</v>
      </c>
      <c r="G63" s="35" t="s">
        <v>243</v>
      </c>
      <c r="H63" s="35" t="s">
        <v>79</v>
      </c>
      <c r="I63" s="27">
        <v>52.68</v>
      </c>
      <c r="J63" s="36">
        <v>18500</v>
      </c>
      <c r="K63" s="36">
        <v>487290</v>
      </c>
      <c r="L63" s="37">
        <v>0.25</v>
      </c>
      <c r="M63" s="15" t="s">
        <v>153</v>
      </c>
      <c r="N63" s="40">
        <v>974580</v>
      </c>
      <c r="O63" s="40">
        <f>487290+487290</f>
        <v>974580</v>
      </c>
      <c r="P63" s="40">
        <v>0</v>
      </c>
      <c r="Q63" s="40">
        <v>0</v>
      </c>
      <c r="R63" s="40">
        <f t="shared" si="1"/>
        <v>1949160</v>
      </c>
      <c r="S63"/>
    </row>
    <row r="64" spans="1:19">
      <c r="A64" s="32">
        <v>58</v>
      </c>
      <c r="B64" s="33" t="s">
        <v>29</v>
      </c>
      <c r="C64" s="34">
        <v>39673</v>
      </c>
      <c r="D64" s="27">
        <v>40060</v>
      </c>
      <c r="E64" s="15">
        <v>2008</v>
      </c>
      <c r="F64" s="32">
        <v>19790</v>
      </c>
      <c r="G64" s="35" t="s">
        <v>243</v>
      </c>
      <c r="H64" s="35" t="s">
        <v>13</v>
      </c>
      <c r="I64" s="27">
        <v>36.619999999999997</v>
      </c>
      <c r="J64" s="36">
        <v>25000</v>
      </c>
      <c r="K64" s="36">
        <v>457750</v>
      </c>
      <c r="L64" s="37">
        <v>0.26</v>
      </c>
      <c r="M64" s="15" t="s">
        <v>151</v>
      </c>
      <c r="N64" s="40">
        <v>915500</v>
      </c>
      <c r="O64" s="40">
        <v>457750</v>
      </c>
      <c r="P64" s="40">
        <v>0</v>
      </c>
      <c r="Q64" s="40">
        <v>9159.66</v>
      </c>
      <c r="R64" s="40">
        <f t="shared" si="1"/>
        <v>1382409.66</v>
      </c>
      <c r="S64"/>
    </row>
    <row r="65" spans="1:19">
      <c r="A65" s="32">
        <v>59</v>
      </c>
      <c r="B65" s="33" t="s">
        <v>17</v>
      </c>
      <c r="C65" s="34">
        <v>39673</v>
      </c>
      <c r="D65" s="27">
        <v>40061</v>
      </c>
      <c r="E65" s="15">
        <v>2008</v>
      </c>
      <c r="F65" s="32">
        <v>19791</v>
      </c>
      <c r="G65" s="35" t="s">
        <v>243</v>
      </c>
      <c r="H65" s="35" t="s">
        <v>79</v>
      </c>
      <c r="I65" s="27">
        <v>25.16</v>
      </c>
      <c r="J65" s="36">
        <v>18500</v>
      </c>
      <c r="K65" s="36">
        <v>232730</v>
      </c>
      <c r="L65" s="37">
        <v>0.25</v>
      </c>
      <c r="M65" s="15" t="s">
        <v>153</v>
      </c>
      <c r="N65" s="40">
        <v>465460</v>
      </c>
      <c r="O65" s="40">
        <f>232730+232730</f>
        <v>465460</v>
      </c>
      <c r="P65" s="40">
        <v>0</v>
      </c>
      <c r="Q65" s="40">
        <v>0</v>
      </c>
      <c r="R65" s="40">
        <f t="shared" si="1"/>
        <v>930920</v>
      </c>
      <c r="S65"/>
    </row>
    <row r="66" spans="1:19">
      <c r="A66" s="32">
        <v>60</v>
      </c>
      <c r="B66" s="33" t="s">
        <v>17</v>
      </c>
      <c r="C66" s="34">
        <v>39673</v>
      </c>
      <c r="D66" s="27">
        <v>40062</v>
      </c>
      <c r="E66" s="15">
        <v>2008</v>
      </c>
      <c r="F66" s="32">
        <v>19792</v>
      </c>
      <c r="G66" s="35" t="s">
        <v>243</v>
      </c>
      <c r="H66" s="35" t="s">
        <v>13</v>
      </c>
      <c r="I66" s="27">
        <v>0.04</v>
      </c>
      <c r="J66" s="36">
        <v>27500</v>
      </c>
      <c r="K66" s="36">
        <v>550</v>
      </c>
      <c r="L66" s="37">
        <v>0.27500000000000002</v>
      </c>
      <c r="M66" s="15" t="s">
        <v>153</v>
      </c>
      <c r="N66" s="40">
        <v>1100</v>
      </c>
      <c r="O66" s="40">
        <f>550+550</f>
        <v>1100</v>
      </c>
      <c r="P66" s="40">
        <v>0</v>
      </c>
      <c r="Q66" s="40">
        <v>0</v>
      </c>
      <c r="R66" s="40">
        <f t="shared" si="1"/>
        <v>2200</v>
      </c>
      <c r="S66"/>
    </row>
    <row r="67" spans="1:19">
      <c r="A67" s="32">
        <v>61</v>
      </c>
      <c r="B67" s="44" t="s">
        <v>29</v>
      </c>
      <c r="C67" s="45">
        <v>39673</v>
      </c>
      <c r="D67" s="15">
        <v>40063</v>
      </c>
      <c r="E67" s="15">
        <v>2008</v>
      </c>
      <c r="F67" s="18">
        <v>19793</v>
      </c>
      <c r="G67" s="46" t="s">
        <v>126</v>
      </c>
      <c r="H67" s="46" t="s">
        <v>13</v>
      </c>
      <c r="I67" s="15">
        <v>2.4</v>
      </c>
      <c r="J67" s="47">
        <v>25000</v>
      </c>
      <c r="K67" s="47">
        <v>30000</v>
      </c>
      <c r="L67" s="48">
        <v>0.26</v>
      </c>
      <c r="M67" s="15" t="s">
        <v>153</v>
      </c>
      <c r="N67" s="17">
        <v>60000</v>
      </c>
      <c r="O67" s="40">
        <v>0</v>
      </c>
      <c r="P67" s="40">
        <v>0</v>
      </c>
      <c r="Q67" s="40">
        <v>0</v>
      </c>
      <c r="R67" s="40">
        <f t="shared" si="1"/>
        <v>60000</v>
      </c>
      <c r="S67"/>
    </row>
    <row r="68" spans="1:19">
      <c r="A68" s="32">
        <v>62</v>
      </c>
      <c r="B68" s="33" t="s">
        <v>29</v>
      </c>
      <c r="C68" s="34">
        <v>39673</v>
      </c>
      <c r="D68" s="27">
        <v>40064</v>
      </c>
      <c r="E68" s="15">
        <v>2008</v>
      </c>
      <c r="F68" s="32">
        <v>19794</v>
      </c>
      <c r="G68" s="35" t="s">
        <v>243</v>
      </c>
      <c r="H68" s="35" t="s">
        <v>13</v>
      </c>
      <c r="I68" s="27">
        <v>2.3199999999999998</v>
      </c>
      <c r="J68" s="36">
        <v>27500</v>
      </c>
      <c r="K68" s="36">
        <v>31900</v>
      </c>
      <c r="L68" s="37">
        <v>0.27500000000000002</v>
      </c>
      <c r="M68" s="15" t="s">
        <v>151</v>
      </c>
      <c r="N68" s="40">
        <v>63800</v>
      </c>
      <c r="O68" s="40">
        <v>31900</v>
      </c>
      <c r="P68" s="17">
        <v>0</v>
      </c>
      <c r="Q68" s="17">
        <v>8686.14</v>
      </c>
      <c r="R68" s="40">
        <f t="shared" si="1"/>
        <v>104386.14</v>
      </c>
      <c r="S68"/>
    </row>
    <row r="69" spans="1:19">
      <c r="A69" s="32">
        <v>63</v>
      </c>
      <c r="B69" s="33" t="s">
        <v>19</v>
      </c>
      <c r="C69" s="34">
        <v>39673</v>
      </c>
      <c r="D69" s="27">
        <v>40065</v>
      </c>
      <c r="E69" s="15">
        <v>2008</v>
      </c>
      <c r="F69" s="32">
        <v>19795</v>
      </c>
      <c r="G69" s="35" t="s">
        <v>243</v>
      </c>
      <c r="H69" s="35" t="s">
        <v>89</v>
      </c>
      <c r="I69" s="27">
        <v>51.6</v>
      </c>
      <c r="J69" s="36">
        <v>20500</v>
      </c>
      <c r="K69" s="36">
        <v>528900</v>
      </c>
      <c r="L69" s="37">
        <v>0.25</v>
      </c>
      <c r="M69" s="15" t="s">
        <v>151</v>
      </c>
      <c r="N69" s="40">
        <v>1057800</v>
      </c>
      <c r="O69" s="40">
        <v>0</v>
      </c>
      <c r="P69" s="17">
        <v>0</v>
      </c>
      <c r="Q69" s="17">
        <v>46392.68</v>
      </c>
      <c r="R69" s="40">
        <f t="shared" si="1"/>
        <v>1104192.68</v>
      </c>
      <c r="S69"/>
    </row>
    <row r="70" spans="1:19">
      <c r="A70" s="32">
        <v>64</v>
      </c>
      <c r="B70" s="33" t="s">
        <v>19</v>
      </c>
      <c r="C70" s="34">
        <v>39673</v>
      </c>
      <c r="D70" s="27">
        <v>40066</v>
      </c>
      <c r="E70" s="15">
        <v>2008</v>
      </c>
      <c r="F70" s="32">
        <v>19796</v>
      </c>
      <c r="G70" s="35" t="s">
        <v>243</v>
      </c>
      <c r="H70" s="35" t="s">
        <v>89</v>
      </c>
      <c r="I70" s="27">
        <v>28.08</v>
      </c>
      <c r="J70" s="36">
        <v>20500</v>
      </c>
      <c r="K70" s="36">
        <v>287820</v>
      </c>
      <c r="L70" s="37">
        <v>0.25</v>
      </c>
      <c r="M70" s="15" t="s">
        <v>151</v>
      </c>
      <c r="N70" s="40">
        <v>575640</v>
      </c>
      <c r="O70" s="40">
        <v>0</v>
      </c>
      <c r="P70" s="17">
        <v>0</v>
      </c>
      <c r="Q70" s="17">
        <v>45027.94</v>
      </c>
      <c r="R70" s="40">
        <f t="shared" si="1"/>
        <v>620667.93999999994</v>
      </c>
      <c r="S70"/>
    </row>
    <row r="71" spans="1:19">
      <c r="A71" s="32">
        <v>65</v>
      </c>
      <c r="B71" s="33" t="s">
        <v>19</v>
      </c>
      <c r="C71" s="34">
        <v>39673</v>
      </c>
      <c r="D71" s="27">
        <v>40067</v>
      </c>
      <c r="E71" s="15">
        <v>2008</v>
      </c>
      <c r="F71" s="32">
        <v>19797</v>
      </c>
      <c r="G71" s="35" t="s">
        <v>243</v>
      </c>
      <c r="H71" s="35" t="s">
        <v>89</v>
      </c>
      <c r="I71" s="27">
        <v>3.12</v>
      </c>
      <c r="J71" s="36">
        <v>20500</v>
      </c>
      <c r="K71" s="36">
        <v>31980</v>
      </c>
      <c r="L71" s="37">
        <v>0.25</v>
      </c>
      <c r="M71" s="15" t="s">
        <v>150</v>
      </c>
      <c r="N71" s="40">
        <v>63960</v>
      </c>
      <c r="O71" s="40">
        <v>0</v>
      </c>
      <c r="P71" s="40">
        <v>0</v>
      </c>
      <c r="Q71" s="40">
        <v>0</v>
      </c>
      <c r="R71" s="40">
        <f t="shared" si="1"/>
        <v>63960</v>
      </c>
      <c r="S71"/>
    </row>
    <row r="72" spans="1:19" s="11" customFormat="1">
      <c r="A72" s="32">
        <v>66</v>
      </c>
      <c r="B72" s="33" t="s">
        <v>29</v>
      </c>
      <c r="C72" s="34">
        <v>39729</v>
      </c>
      <c r="D72" s="27">
        <v>40078</v>
      </c>
      <c r="E72" s="15">
        <v>2008</v>
      </c>
      <c r="F72" s="32">
        <v>19812</v>
      </c>
      <c r="G72" s="35" t="s">
        <v>243</v>
      </c>
      <c r="H72" s="35" t="s">
        <v>79</v>
      </c>
      <c r="I72" s="27">
        <v>127</v>
      </c>
      <c r="J72" s="36">
        <v>1160</v>
      </c>
      <c r="K72" s="36">
        <v>73660</v>
      </c>
      <c r="L72" s="37">
        <v>0.25</v>
      </c>
      <c r="M72" s="15" t="s">
        <v>150</v>
      </c>
      <c r="N72" s="40">
        <v>147320</v>
      </c>
      <c r="O72" s="40">
        <v>0</v>
      </c>
      <c r="P72" s="40">
        <v>0</v>
      </c>
      <c r="Q72" s="40">
        <v>0</v>
      </c>
      <c r="R72" s="40">
        <f t="shared" si="1"/>
        <v>147320</v>
      </c>
    </row>
    <row r="73" spans="1:19" s="11" customFormat="1">
      <c r="A73" s="32">
        <v>67</v>
      </c>
      <c r="B73" s="39" t="s">
        <v>11</v>
      </c>
      <c r="C73" s="34">
        <v>39729</v>
      </c>
      <c r="D73" s="27">
        <v>40079</v>
      </c>
      <c r="E73" s="15">
        <v>2008</v>
      </c>
      <c r="F73" s="32">
        <v>19813</v>
      </c>
      <c r="G73" s="35" t="s">
        <v>243</v>
      </c>
      <c r="H73" s="35" t="s">
        <v>79</v>
      </c>
      <c r="I73" s="27">
        <v>48</v>
      </c>
      <c r="J73" s="36">
        <v>1692</v>
      </c>
      <c r="K73" s="36">
        <v>40618</v>
      </c>
      <c r="L73" s="37">
        <v>0.25</v>
      </c>
      <c r="M73" s="15" t="s">
        <v>150</v>
      </c>
      <c r="N73" s="40">
        <v>81216</v>
      </c>
      <c r="O73" s="40">
        <v>0</v>
      </c>
      <c r="P73" s="40">
        <v>0</v>
      </c>
      <c r="Q73" s="40">
        <v>0</v>
      </c>
      <c r="R73" s="40">
        <f t="shared" si="1"/>
        <v>81216</v>
      </c>
    </row>
    <row r="74" spans="1:19" s="11" customFormat="1">
      <c r="A74" s="32">
        <v>68</v>
      </c>
      <c r="B74" s="33" t="s">
        <v>29</v>
      </c>
      <c r="C74" s="34">
        <v>39729</v>
      </c>
      <c r="D74" s="27">
        <v>40083</v>
      </c>
      <c r="E74" s="15">
        <v>2008</v>
      </c>
      <c r="F74" s="32">
        <v>19814</v>
      </c>
      <c r="G74" s="35" t="s">
        <v>243</v>
      </c>
      <c r="H74" s="35" t="s">
        <v>79</v>
      </c>
      <c r="I74" s="27">
        <v>28</v>
      </c>
      <c r="J74" s="36">
        <v>2392</v>
      </c>
      <c r="K74" s="36">
        <v>33488</v>
      </c>
      <c r="L74" s="37">
        <v>0.25</v>
      </c>
      <c r="M74" s="15" t="s">
        <v>150</v>
      </c>
      <c r="N74" s="40">
        <v>66976</v>
      </c>
      <c r="O74" s="40">
        <v>0</v>
      </c>
      <c r="P74" s="40">
        <v>0</v>
      </c>
      <c r="Q74" s="40">
        <v>0</v>
      </c>
      <c r="R74" s="40">
        <f t="shared" si="1"/>
        <v>66976</v>
      </c>
    </row>
    <row r="75" spans="1:19" s="11" customFormat="1">
      <c r="A75" s="32">
        <v>69</v>
      </c>
      <c r="B75" s="33" t="s">
        <v>29</v>
      </c>
      <c r="C75" s="34">
        <v>39729</v>
      </c>
      <c r="D75" s="27">
        <v>40084</v>
      </c>
      <c r="E75" s="15">
        <v>2008</v>
      </c>
      <c r="F75" s="32">
        <v>19815</v>
      </c>
      <c r="G75" s="35" t="s">
        <v>243</v>
      </c>
      <c r="H75" s="35" t="s">
        <v>79</v>
      </c>
      <c r="I75" s="27">
        <v>63</v>
      </c>
      <c r="J75" s="36">
        <v>3512</v>
      </c>
      <c r="K75" s="36">
        <v>110628</v>
      </c>
      <c r="L75" s="37">
        <v>0.25</v>
      </c>
      <c r="M75" s="15" t="s">
        <v>150</v>
      </c>
      <c r="N75" s="40">
        <v>221256</v>
      </c>
      <c r="O75" s="40">
        <v>0</v>
      </c>
      <c r="P75" s="40">
        <v>0</v>
      </c>
      <c r="Q75" s="40">
        <v>0</v>
      </c>
      <c r="R75" s="40">
        <f t="shared" si="1"/>
        <v>221256</v>
      </c>
    </row>
    <row r="76" spans="1:19" s="11" customFormat="1">
      <c r="A76" s="32">
        <v>70</v>
      </c>
      <c r="B76" s="33" t="s">
        <v>29</v>
      </c>
      <c r="C76" s="34">
        <v>39729</v>
      </c>
      <c r="D76" s="27">
        <v>40085</v>
      </c>
      <c r="E76" s="15">
        <v>2008</v>
      </c>
      <c r="F76" s="32">
        <v>19816</v>
      </c>
      <c r="G76" s="35" t="s">
        <v>243</v>
      </c>
      <c r="H76" s="35" t="s">
        <v>79</v>
      </c>
      <c r="I76" s="27">
        <v>22</v>
      </c>
      <c r="J76" s="36">
        <v>2812</v>
      </c>
      <c r="K76" s="36">
        <v>30932</v>
      </c>
      <c r="L76" s="37">
        <v>0.25</v>
      </c>
      <c r="M76" s="15" t="s">
        <v>150</v>
      </c>
      <c r="N76" s="40">
        <v>61864</v>
      </c>
      <c r="O76" s="40">
        <v>0</v>
      </c>
      <c r="P76" s="40">
        <v>0</v>
      </c>
      <c r="Q76" s="40">
        <v>0</v>
      </c>
      <c r="R76" s="40">
        <f t="shared" si="1"/>
        <v>61864</v>
      </c>
    </row>
    <row r="77" spans="1:19" s="11" customFormat="1">
      <c r="A77" s="32">
        <v>71</v>
      </c>
      <c r="B77" s="39" t="s">
        <v>11</v>
      </c>
      <c r="C77" s="34">
        <v>39729</v>
      </c>
      <c r="D77" s="27">
        <v>40086</v>
      </c>
      <c r="E77" s="15">
        <v>2008</v>
      </c>
      <c r="F77" s="32">
        <v>19817</v>
      </c>
      <c r="G77" s="35" t="s">
        <v>243</v>
      </c>
      <c r="H77" s="35" t="s">
        <v>79</v>
      </c>
      <c r="I77" s="27">
        <v>108</v>
      </c>
      <c r="J77" s="36">
        <v>2392</v>
      </c>
      <c r="K77" s="36">
        <v>129168</v>
      </c>
      <c r="L77" s="37">
        <v>0.25</v>
      </c>
      <c r="M77" s="15" t="s">
        <v>150</v>
      </c>
      <c r="N77" s="40">
        <v>258336</v>
      </c>
      <c r="O77" s="40">
        <v>0</v>
      </c>
      <c r="P77" s="40">
        <v>0</v>
      </c>
      <c r="Q77" s="40">
        <v>0</v>
      </c>
      <c r="R77" s="40">
        <f t="shared" si="1"/>
        <v>258336</v>
      </c>
    </row>
    <row r="78" spans="1:19" s="11" customFormat="1">
      <c r="A78" s="32">
        <v>72</v>
      </c>
      <c r="B78" s="39" t="s">
        <v>11</v>
      </c>
      <c r="C78" s="34">
        <v>39729</v>
      </c>
      <c r="D78" s="27">
        <v>40090</v>
      </c>
      <c r="E78" s="15">
        <v>2008</v>
      </c>
      <c r="F78" s="32">
        <v>19818</v>
      </c>
      <c r="G78" s="35" t="s">
        <v>243</v>
      </c>
      <c r="H78" s="35" t="s">
        <v>79</v>
      </c>
      <c r="I78" s="27">
        <v>92</v>
      </c>
      <c r="J78" s="36">
        <v>2812</v>
      </c>
      <c r="K78" s="36">
        <v>129352</v>
      </c>
      <c r="L78" s="37">
        <v>0.25</v>
      </c>
      <c r="M78" s="15" t="s">
        <v>150</v>
      </c>
      <c r="N78" s="40">
        <v>258704</v>
      </c>
      <c r="O78" s="40">
        <v>0</v>
      </c>
      <c r="P78" s="40">
        <v>0</v>
      </c>
      <c r="Q78" s="40">
        <v>0</v>
      </c>
      <c r="R78" s="40">
        <f t="shared" si="1"/>
        <v>258704</v>
      </c>
    </row>
    <row r="79" spans="1:19" s="11" customFormat="1">
      <c r="A79" s="32">
        <v>73</v>
      </c>
      <c r="B79" s="39" t="s">
        <v>11</v>
      </c>
      <c r="C79" s="34">
        <v>39729</v>
      </c>
      <c r="D79" s="27">
        <v>40091</v>
      </c>
      <c r="E79" s="15">
        <v>2008</v>
      </c>
      <c r="F79" s="32">
        <v>19819</v>
      </c>
      <c r="G79" s="35" t="s">
        <v>243</v>
      </c>
      <c r="H79" s="35" t="s">
        <v>79</v>
      </c>
      <c r="I79" s="27">
        <v>86</v>
      </c>
      <c r="J79" s="36">
        <v>3512</v>
      </c>
      <c r="K79" s="36">
        <v>151016</v>
      </c>
      <c r="L79" s="37">
        <v>0.25</v>
      </c>
      <c r="M79" s="15" t="s">
        <v>150</v>
      </c>
      <c r="N79" s="40">
        <v>302032</v>
      </c>
      <c r="O79" s="40">
        <v>0</v>
      </c>
      <c r="P79" s="40">
        <v>0</v>
      </c>
      <c r="Q79" s="40">
        <v>0</v>
      </c>
      <c r="R79" s="40">
        <f t="shared" si="1"/>
        <v>302032</v>
      </c>
    </row>
    <row r="80" spans="1:19" s="11" customFormat="1">
      <c r="A80" s="32">
        <v>74</v>
      </c>
      <c r="B80" s="33" t="s">
        <v>29</v>
      </c>
      <c r="C80" s="34">
        <v>39729</v>
      </c>
      <c r="D80" s="27">
        <v>40092</v>
      </c>
      <c r="E80" s="15">
        <v>2008</v>
      </c>
      <c r="F80" s="32">
        <v>19820</v>
      </c>
      <c r="G80" s="35" t="s">
        <v>243</v>
      </c>
      <c r="H80" s="35" t="s">
        <v>79</v>
      </c>
      <c r="I80" s="27">
        <v>60</v>
      </c>
      <c r="J80" s="36">
        <v>4212</v>
      </c>
      <c r="K80" s="36">
        <v>126360</v>
      </c>
      <c r="L80" s="37">
        <v>0.25</v>
      </c>
      <c r="M80" s="15" t="s">
        <v>150</v>
      </c>
      <c r="N80" s="40">
        <v>252720</v>
      </c>
      <c r="O80" s="40">
        <v>0</v>
      </c>
      <c r="P80" s="40">
        <v>0</v>
      </c>
      <c r="Q80" s="40">
        <v>0</v>
      </c>
      <c r="R80" s="40">
        <f t="shared" si="1"/>
        <v>252720</v>
      </c>
    </row>
    <row r="81" spans="1:18" s="11" customFormat="1">
      <c r="A81" s="32">
        <v>75</v>
      </c>
      <c r="B81" s="33" t="s">
        <v>29</v>
      </c>
      <c r="C81" s="34">
        <v>39729</v>
      </c>
      <c r="D81" s="27">
        <v>40093</v>
      </c>
      <c r="E81" s="15">
        <v>2008</v>
      </c>
      <c r="F81" s="32">
        <v>19821</v>
      </c>
      <c r="G81" s="35" t="s">
        <v>243</v>
      </c>
      <c r="H81" s="35" t="s">
        <v>79</v>
      </c>
      <c r="I81" s="27">
        <v>80</v>
      </c>
      <c r="J81" s="36">
        <v>4212</v>
      </c>
      <c r="K81" s="36">
        <v>168480</v>
      </c>
      <c r="L81" s="37">
        <v>0.25</v>
      </c>
      <c r="M81" s="15" t="s">
        <v>150</v>
      </c>
      <c r="N81" s="40">
        <v>336960</v>
      </c>
      <c r="O81" s="40">
        <v>0</v>
      </c>
      <c r="P81" s="40">
        <v>0</v>
      </c>
      <c r="Q81" s="40">
        <v>0</v>
      </c>
      <c r="R81" s="40">
        <f t="shared" si="1"/>
        <v>336960</v>
      </c>
    </row>
    <row r="82" spans="1:18" s="11" customFormat="1">
      <c r="A82" s="32">
        <v>76</v>
      </c>
      <c r="B82" s="33" t="s">
        <v>15</v>
      </c>
      <c r="C82" s="34">
        <v>39729</v>
      </c>
      <c r="D82" s="27">
        <v>40095</v>
      </c>
      <c r="E82" s="15">
        <v>2008</v>
      </c>
      <c r="F82" s="32">
        <v>19822</v>
      </c>
      <c r="G82" s="35" t="s">
        <v>243</v>
      </c>
      <c r="H82" s="35" t="s">
        <v>79</v>
      </c>
      <c r="I82" s="27">
        <v>264</v>
      </c>
      <c r="J82" s="36">
        <v>3092</v>
      </c>
      <c r="K82" s="36">
        <v>408144</v>
      </c>
      <c r="L82" s="37">
        <v>0.25</v>
      </c>
      <c r="M82" s="15" t="s">
        <v>150</v>
      </c>
      <c r="N82" s="40">
        <v>816288</v>
      </c>
      <c r="O82" s="40">
        <v>0</v>
      </c>
      <c r="P82" s="40">
        <v>0</v>
      </c>
      <c r="Q82" s="40">
        <v>0</v>
      </c>
      <c r="R82" s="40">
        <f t="shared" si="1"/>
        <v>816288</v>
      </c>
    </row>
    <row r="83" spans="1:18" s="11" customFormat="1">
      <c r="A83" s="32">
        <v>77</v>
      </c>
      <c r="B83" s="33" t="s">
        <v>15</v>
      </c>
      <c r="C83" s="34">
        <v>39729</v>
      </c>
      <c r="D83" s="27">
        <v>40096</v>
      </c>
      <c r="E83" s="15">
        <v>2008</v>
      </c>
      <c r="F83" s="32">
        <v>19823</v>
      </c>
      <c r="G83" s="35" t="s">
        <v>243</v>
      </c>
      <c r="H83" s="35" t="s">
        <v>79</v>
      </c>
      <c r="I83" s="27">
        <v>2247</v>
      </c>
      <c r="J83" s="36">
        <v>3792</v>
      </c>
      <c r="K83" s="36">
        <v>4260312</v>
      </c>
      <c r="L83" s="37">
        <v>0.25</v>
      </c>
      <c r="M83" s="15" t="s">
        <v>150</v>
      </c>
      <c r="N83" s="40">
        <v>8520624</v>
      </c>
      <c r="O83" s="40">
        <v>0</v>
      </c>
      <c r="P83" s="40">
        <v>0</v>
      </c>
      <c r="Q83" s="40">
        <v>0</v>
      </c>
      <c r="R83" s="40">
        <f t="shared" si="1"/>
        <v>8520624</v>
      </c>
    </row>
    <row r="84" spans="1:18" s="11" customFormat="1">
      <c r="A84" s="32">
        <v>78</v>
      </c>
      <c r="B84" s="33" t="s">
        <v>29</v>
      </c>
      <c r="C84" s="34">
        <v>39729</v>
      </c>
      <c r="D84" s="27">
        <v>40097</v>
      </c>
      <c r="E84" s="15">
        <v>2008</v>
      </c>
      <c r="F84" s="32">
        <v>19824</v>
      </c>
      <c r="G84" s="35" t="s">
        <v>243</v>
      </c>
      <c r="H84" s="35" t="s">
        <v>79</v>
      </c>
      <c r="I84" s="27">
        <v>46</v>
      </c>
      <c r="J84" s="36">
        <v>2392</v>
      </c>
      <c r="K84" s="36">
        <v>55016</v>
      </c>
      <c r="L84" s="37">
        <v>0.25</v>
      </c>
      <c r="M84" s="15" t="s">
        <v>150</v>
      </c>
      <c r="N84" s="40">
        <v>110032</v>
      </c>
      <c r="O84" s="40">
        <v>0</v>
      </c>
      <c r="P84" s="40">
        <v>0</v>
      </c>
      <c r="Q84" s="40">
        <v>0</v>
      </c>
      <c r="R84" s="40">
        <f t="shared" si="1"/>
        <v>110032</v>
      </c>
    </row>
    <row r="85" spans="1:18" s="11" customFormat="1">
      <c r="A85" s="32">
        <v>79</v>
      </c>
      <c r="B85" s="39" t="s">
        <v>11</v>
      </c>
      <c r="C85" s="34">
        <v>39729</v>
      </c>
      <c r="D85" s="27">
        <v>40098</v>
      </c>
      <c r="E85" s="15">
        <v>2008</v>
      </c>
      <c r="F85" s="32">
        <v>19825</v>
      </c>
      <c r="G85" s="35" t="s">
        <v>243</v>
      </c>
      <c r="H85" s="35" t="s">
        <v>79</v>
      </c>
      <c r="I85" s="27">
        <v>329</v>
      </c>
      <c r="J85" s="36">
        <v>2392</v>
      </c>
      <c r="K85" s="36">
        <v>393484</v>
      </c>
      <c r="L85" s="37">
        <v>0.25</v>
      </c>
      <c r="M85" s="15" t="s">
        <v>150</v>
      </c>
      <c r="N85" s="40">
        <v>786968</v>
      </c>
      <c r="O85" s="40">
        <v>0</v>
      </c>
      <c r="P85" s="40">
        <v>0</v>
      </c>
      <c r="Q85" s="40">
        <v>0</v>
      </c>
      <c r="R85" s="40">
        <f t="shared" si="1"/>
        <v>786968</v>
      </c>
    </row>
    <row r="86" spans="1:18" s="11" customFormat="1">
      <c r="A86" s="32">
        <v>80</v>
      </c>
      <c r="B86" s="33" t="s">
        <v>29</v>
      </c>
      <c r="C86" s="34">
        <v>39729</v>
      </c>
      <c r="D86" s="27">
        <v>40099</v>
      </c>
      <c r="E86" s="15">
        <v>2008</v>
      </c>
      <c r="F86" s="32">
        <v>19826</v>
      </c>
      <c r="G86" s="35" t="s">
        <v>243</v>
      </c>
      <c r="H86" s="35" t="s">
        <v>79</v>
      </c>
      <c r="I86" s="27">
        <v>28</v>
      </c>
      <c r="J86" s="36">
        <v>2392</v>
      </c>
      <c r="K86" s="36">
        <v>33488</v>
      </c>
      <c r="L86" s="37">
        <v>0.25</v>
      </c>
      <c r="M86" s="15" t="s">
        <v>150</v>
      </c>
      <c r="N86" s="40">
        <v>66976</v>
      </c>
      <c r="O86" s="40">
        <v>0</v>
      </c>
      <c r="P86" s="40">
        <v>0</v>
      </c>
      <c r="Q86" s="40">
        <v>0</v>
      </c>
      <c r="R86" s="40">
        <f t="shared" si="1"/>
        <v>66976</v>
      </c>
    </row>
    <row r="87" spans="1:18" s="11" customFormat="1">
      <c r="A87" s="32">
        <v>81</v>
      </c>
      <c r="B87" s="33" t="s">
        <v>15</v>
      </c>
      <c r="C87" s="34">
        <v>39729</v>
      </c>
      <c r="D87" s="27">
        <v>40100</v>
      </c>
      <c r="E87" s="15">
        <v>2008</v>
      </c>
      <c r="F87" s="32">
        <v>19827</v>
      </c>
      <c r="G87" s="35" t="s">
        <v>243</v>
      </c>
      <c r="H87" s="35" t="s">
        <v>79</v>
      </c>
      <c r="I87" s="27">
        <v>45</v>
      </c>
      <c r="J87" s="36">
        <v>4212</v>
      </c>
      <c r="K87" s="36">
        <v>94770</v>
      </c>
      <c r="L87" s="37">
        <v>0.25</v>
      </c>
      <c r="M87" s="15" t="s">
        <v>150</v>
      </c>
      <c r="N87" s="40">
        <v>189540</v>
      </c>
      <c r="O87" s="40">
        <v>0</v>
      </c>
      <c r="P87" s="40">
        <v>0</v>
      </c>
      <c r="Q87" s="40">
        <v>0</v>
      </c>
      <c r="R87" s="40">
        <f t="shared" si="1"/>
        <v>189540</v>
      </c>
    </row>
    <row r="88" spans="1:18" s="11" customFormat="1">
      <c r="A88" s="32">
        <v>82</v>
      </c>
      <c r="B88" s="33" t="s">
        <v>15</v>
      </c>
      <c r="C88" s="34">
        <v>39729</v>
      </c>
      <c r="D88" s="27">
        <v>40102</v>
      </c>
      <c r="E88" s="15">
        <v>2008</v>
      </c>
      <c r="F88" s="32">
        <v>19828</v>
      </c>
      <c r="G88" s="35" t="s">
        <v>243</v>
      </c>
      <c r="H88" s="35" t="s">
        <v>79</v>
      </c>
      <c r="I88" s="27">
        <v>38</v>
      </c>
      <c r="J88" s="36">
        <v>3512</v>
      </c>
      <c r="K88" s="36">
        <v>66728</v>
      </c>
      <c r="L88" s="37">
        <v>0.25</v>
      </c>
      <c r="M88" s="15" t="s">
        <v>150</v>
      </c>
      <c r="N88" s="40">
        <v>133456</v>
      </c>
      <c r="O88" s="40">
        <v>0</v>
      </c>
      <c r="P88" s="40">
        <v>0</v>
      </c>
      <c r="Q88" s="40">
        <v>0</v>
      </c>
      <c r="R88" s="40">
        <f t="shared" si="1"/>
        <v>133456</v>
      </c>
    </row>
    <row r="89" spans="1:18" s="11" customFormat="1">
      <c r="A89" s="32">
        <v>83</v>
      </c>
      <c r="B89" s="33" t="s">
        <v>15</v>
      </c>
      <c r="C89" s="34">
        <v>39729</v>
      </c>
      <c r="D89" s="27">
        <v>40103</v>
      </c>
      <c r="E89" s="15">
        <v>2008</v>
      </c>
      <c r="F89" s="32">
        <v>19829</v>
      </c>
      <c r="G89" s="35" t="s">
        <v>243</v>
      </c>
      <c r="H89" s="35" t="s">
        <v>79</v>
      </c>
      <c r="I89" s="27">
        <v>469</v>
      </c>
      <c r="J89" s="36">
        <v>2392</v>
      </c>
      <c r="K89" s="36">
        <v>560924</v>
      </c>
      <c r="L89" s="37">
        <v>0.25</v>
      </c>
      <c r="M89" s="15" t="s">
        <v>150</v>
      </c>
      <c r="N89" s="40">
        <v>1121848</v>
      </c>
      <c r="O89" s="40">
        <v>0</v>
      </c>
      <c r="P89" s="40">
        <v>0</v>
      </c>
      <c r="Q89" s="40">
        <v>0</v>
      </c>
      <c r="R89" s="40">
        <f t="shared" si="1"/>
        <v>1121848</v>
      </c>
    </row>
    <row r="90" spans="1:18" s="11" customFormat="1">
      <c r="A90" s="32">
        <v>84</v>
      </c>
      <c r="B90" s="33" t="s">
        <v>19</v>
      </c>
      <c r="C90" s="34">
        <v>39729</v>
      </c>
      <c r="D90" s="27">
        <v>40110</v>
      </c>
      <c r="E90" s="15">
        <v>2008</v>
      </c>
      <c r="F90" s="32">
        <v>19830</v>
      </c>
      <c r="G90" s="35" t="s">
        <v>243</v>
      </c>
      <c r="H90" s="35" t="s">
        <v>13</v>
      </c>
      <c r="I90" s="27">
        <v>353</v>
      </c>
      <c r="J90" s="36">
        <v>15255</v>
      </c>
      <c r="K90" s="36">
        <v>2692507.5</v>
      </c>
      <c r="L90" s="37">
        <v>0.25</v>
      </c>
      <c r="M90" s="15" t="s">
        <v>151</v>
      </c>
      <c r="N90" s="40">
        <v>5385015</v>
      </c>
      <c r="O90" s="40">
        <v>0</v>
      </c>
      <c r="P90" s="17">
        <v>0</v>
      </c>
      <c r="Q90" s="17">
        <v>844625.1</v>
      </c>
      <c r="R90" s="40">
        <f t="shared" si="1"/>
        <v>6229640.0999999996</v>
      </c>
    </row>
    <row r="91" spans="1:18" s="11" customFormat="1">
      <c r="A91" s="32">
        <v>85</v>
      </c>
      <c r="B91" s="33" t="s">
        <v>9</v>
      </c>
      <c r="C91" s="34">
        <v>39729</v>
      </c>
      <c r="D91" s="27">
        <v>40111</v>
      </c>
      <c r="E91" s="15">
        <v>2008</v>
      </c>
      <c r="F91" s="32">
        <v>19831</v>
      </c>
      <c r="G91" s="35" t="s">
        <v>243</v>
      </c>
      <c r="H91" s="35" t="s">
        <v>79</v>
      </c>
      <c r="I91" s="27">
        <v>80</v>
      </c>
      <c r="J91" s="36">
        <v>4212</v>
      </c>
      <c r="K91" s="36">
        <v>168480</v>
      </c>
      <c r="L91" s="37">
        <v>0.25</v>
      </c>
      <c r="M91" s="15" t="s">
        <v>151</v>
      </c>
      <c r="N91" s="40">
        <v>336960</v>
      </c>
      <c r="O91" s="40">
        <v>120486.37</v>
      </c>
      <c r="P91" s="17">
        <v>0</v>
      </c>
      <c r="Q91" s="17">
        <v>21046.66</v>
      </c>
      <c r="R91" s="40">
        <f t="shared" si="1"/>
        <v>478493.02999999997</v>
      </c>
    </row>
    <row r="92" spans="1:18" s="11" customFormat="1">
      <c r="A92" s="32">
        <v>86</v>
      </c>
      <c r="B92" s="39" t="s">
        <v>36</v>
      </c>
      <c r="C92" s="34">
        <v>39729</v>
      </c>
      <c r="D92" s="27">
        <v>40112</v>
      </c>
      <c r="E92" s="15">
        <v>2008</v>
      </c>
      <c r="F92" s="32">
        <v>19832</v>
      </c>
      <c r="G92" s="35" t="s">
        <v>243</v>
      </c>
      <c r="H92" s="35" t="s">
        <v>13</v>
      </c>
      <c r="I92" s="27">
        <v>53</v>
      </c>
      <c r="J92" s="36">
        <v>15255</v>
      </c>
      <c r="K92" s="36">
        <v>404257.5</v>
      </c>
      <c r="L92" s="37">
        <v>0.25</v>
      </c>
      <c r="M92" s="15" t="s">
        <v>151</v>
      </c>
      <c r="N92" s="40">
        <v>808515</v>
      </c>
      <c r="O92" s="40">
        <v>0</v>
      </c>
      <c r="P92" s="17">
        <v>0</v>
      </c>
      <c r="Q92" s="17">
        <v>255960.49</v>
      </c>
      <c r="R92" s="40">
        <f t="shared" si="1"/>
        <v>1064475.49</v>
      </c>
    </row>
    <row r="93" spans="1:18" s="11" customFormat="1">
      <c r="A93" s="32">
        <v>87</v>
      </c>
      <c r="B93" s="33" t="s">
        <v>19</v>
      </c>
      <c r="C93" s="34">
        <v>39729</v>
      </c>
      <c r="D93" s="27">
        <v>40115</v>
      </c>
      <c r="E93" s="15">
        <v>2008</v>
      </c>
      <c r="F93" s="32">
        <v>19833</v>
      </c>
      <c r="G93" s="35" t="s">
        <v>243</v>
      </c>
      <c r="H93" s="35" t="s">
        <v>92</v>
      </c>
      <c r="I93" s="27">
        <v>52</v>
      </c>
      <c r="J93" s="36">
        <v>5001</v>
      </c>
      <c r="K93" s="36">
        <v>130026</v>
      </c>
      <c r="L93" s="37">
        <v>0.25</v>
      </c>
      <c r="M93" s="15" t="s">
        <v>151</v>
      </c>
      <c r="N93" s="40">
        <v>260052</v>
      </c>
      <c r="O93" s="40">
        <v>85017</v>
      </c>
      <c r="P93" s="17">
        <v>0</v>
      </c>
      <c r="Q93" s="17">
        <v>16333.76</v>
      </c>
      <c r="R93" s="40">
        <f t="shared" si="1"/>
        <v>361402.76</v>
      </c>
    </row>
    <row r="94" spans="1:18" s="11" customFormat="1">
      <c r="A94" s="32">
        <v>88</v>
      </c>
      <c r="B94" s="33" t="s">
        <v>19</v>
      </c>
      <c r="C94" s="34">
        <v>39729</v>
      </c>
      <c r="D94" s="27">
        <v>40116</v>
      </c>
      <c r="E94" s="15">
        <v>2008</v>
      </c>
      <c r="F94" s="32">
        <v>19834</v>
      </c>
      <c r="G94" s="35" t="s">
        <v>243</v>
      </c>
      <c r="H94" s="35" t="s">
        <v>79</v>
      </c>
      <c r="I94" s="27">
        <v>43</v>
      </c>
      <c r="J94" s="36">
        <v>4212</v>
      </c>
      <c r="K94" s="36">
        <v>90558</v>
      </c>
      <c r="L94" s="37">
        <v>0.25</v>
      </c>
      <c r="M94" s="15" t="s">
        <v>151</v>
      </c>
      <c r="N94" s="40">
        <v>181116</v>
      </c>
      <c r="O94" s="40">
        <v>90558</v>
      </c>
      <c r="P94" s="17">
        <v>0</v>
      </c>
      <c r="Q94" s="17">
        <v>27040.29</v>
      </c>
      <c r="R94" s="40">
        <f t="shared" ref="R94:R132" si="2">SUM(N94:Q94)</f>
        <v>298714.28999999998</v>
      </c>
    </row>
    <row r="95" spans="1:18">
      <c r="A95" s="32">
        <v>89</v>
      </c>
      <c r="B95" s="39" t="s">
        <v>36</v>
      </c>
      <c r="C95" s="34">
        <v>39729</v>
      </c>
      <c r="D95" s="27">
        <v>40118</v>
      </c>
      <c r="E95" s="15">
        <v>2008</v>
      </c>
      <c r="F95" s="32">
        <v>19835</v>
      </c>
      <c r="G95" s="35" t="s">
        <v>243</v>
      </c>
      <c r="H95" s="35" t="s">
        <v>79</v>
      </c>
      <c r="I95" s="27">
        <v>23</v>
      </c>
      <c r="J95" s="36">
        <v>4212</v>
      </c>
      <c r="K95" s="36">
        <v>48438</v>
      </c>
      <c r="L95" s="37">
        <v>0.25</v>
      </c>
      <c r="M95" s="15" t="s">
        <v>151</v>
      </c>
      <c r="N95" s="40">
        <v>96876</v>
      </c>
      <c r="O95" s="40">
        <v>0</v>
      </c>
      <c r="P95" s="17">
        <v>0</v>
      </c>
      <c r="Q95" s="17">
        <v>82754.990000000005</v>
      </c>
      <c r="R95" s="40">
        <f t="shared" si="2"/>
        <v>179630.99</v>
      </c>
    </row>
    <row r="96" spans="1:18">
      <c r="A96" s="32">
        <v>90</v>
      </c>
      <c r="B96" s="33" t="s">
        <v>19</v>
      </c>
      <c r="C96" s="34">
        <v>39729</v>
      </c>
      <c r="D96" s="27">
        <v>40119</v>
      </c>
      <c r="E96" s="15">
        <v>2008</v>
      </c>
      <c r="F96" s="32">
        <v>19836</v>
      </c>
      <c r="G96" s="35" t="s">
        <v>243</v>
      </c>
      <c r="H96" s="35" t="s">
        <v>92</v>
      </c>
      <c r="I96" s="27">
        <v>37</v>
      </c>
      <c r="J96" s="36">
        <v>5001</v>
      </c>
      <c r="K96" s="36">
        <v>92518.5</v>
      </c>
      <c r="L96" s="37">
        <v>0.25</v>
      </c>
      <c r="M96" s="15" t="s">
        <v>151</v>
      </c>
      <c r="N96" s="40">
        <v>185037</v>
      </c>
      <c r="O96" s="40">
        <v>0</v>
      </c>
      <c r="P96" s="17">
        <v>0</v>
      </c>
      <c r="Q96" s="17">
        <v>13674.29</v>
      </c>
      <c r="R96" s="40">
        <f t="shared" si="2"/>
        <v>198711.29</v>
      </c>
    </row>
    <row r="97" spans="1:19">
      <c r="A97" s="32">
        <v>91</v>
      </c>
      <c r="B97" s="39" t="s">
        <v>36</v>
      </c>
      <c r="C97" s="34">
        <v>39729</v>
      </c>
      <c r="D97" s="27">
        <v>40121</v>
      </c>
      <c r="E97" s="15">
        <v>2008</v>
      </c>
      <c r="F97" s="32">
        <v>19837</v>
      </c>
      <c r="G97" s="35" t="s">
        <v>243</v>
      </c>
      <c r="H97" s="35" t="s">
        <v>92</v>
      </c>
      <c r="I97" s="27">
        <v>36</v>
      </c>
      <c r="J97" s="36">
        <v>5001</v>
      </c>
      <c r="K97" s="36">
        <v>90018</v>
      </c>
      <c r="L97" s="37">
        <v>0.25</v>
      </c>
      <c r="M97" s="15" t="s">
        <v>150</v>
      </c>
      <c r="N97" s="40">
        <v>180036</v>
      </c>
      <c r="O97" s="40">
        <v>0</v>
      </c>
      <c r="P97" s="40">
        <v>0</v>
      </c>
      <c r="Q97" s="40">
        <v>0</v>
      </c>
      <c r="R97" s="40">
        <f t="shared" si="2"/>
        <v>180036</v>
      </c>
    </row>
    <row r="98" spans="1:19">
      <c r="A98" s="32">
        <v>92</v>
      </c>
      <c r="B98" s="39" t="s">
        <v>36</v>
      </c>
      <c r="C98" s="34">
        <v>39729</v>
      </c>
      <c r="D98" s="27">
        <v>40125</v>
      </c>
      <c r="E98" s="15">
        <v>2008</v>
      </c>
      <c r="F98" s="32">
        <v>19838</v>
      </c>
      <c r="G98" s="35" t="s">
        <v>243</v>
      </c>
      <c r="H98" s="35" t="s">
        <v>79</v>
      </c>
      <c r="I98" s="27">
        <v>70</v>
      </c>
      <c r="J98" s="36">
        <v>2392</v>
      </c>
      <c r="K98" s="36">
        <v>83720</v>
      </c>
      <c r="L98" s="37">
        <v>0.25</v>
      </c>
      <c r="M98" s="15" t="s">
        <v>152</v>
      </c>
      <c r="N98" s="40">
        <v>167440</v>
      </c>
      <c r="O98" s="40">
        <f>72782.58-500-72782.58+72782.58-10437.42+500+500+10437.42+10437.42-500-500+500+500+500+500+500+65370.97</f>
        <v>150590.97</v>
      </c>
      <c r="P98" s="17">
        <v>0</v>
      </c>
      <c r="Q98" s="17">
        <v>0</v>
      </c>
      <c r="R98" s="40">
        <f t="shared" si="2"/>
        <v>318030.96999999997</v>
      </c>
      <c r="S98" s="11" t="s">
        <v>238</v>
      </c>
    </row>
    <row r="99" spans="1:19">
      <c r="A99" s="32">
        <v>93</v>
      </c>
      <c r="B99" s="39" t="s">
        <v>36</v>
      </c>
      <c r="C99" s="34">
        <v>39729</v>
      </c>
      <c r="D99" s="27">
        <v>40132</v>
      </c>
      <c r="E99" s="15">
        <v>2008</v>
      </c>
      <c r="F99" s="32">
        <v>19839</v>
      </c>
      <c r="G99" s="35" t="s">
        <v>243</v>
      </c>
      <c r="H99" s="35" t="s">
        <v>92</v>
      </c>
      <c r="I99" s="27">
        <v>179</v>
      </c>
      <c r="J99" s="36">
        <v>5001</v>
      </c>
      <c r="K99" s="36">
        <v>447589.5</v>
      </c>
      <c r="L99" s="37">
        <v>0.25</v>
      </c>
      <c r="M99" s="15" t="s">
        <v>151</v>
      </c>
      <c r="N99" s="40">
        <v>895179</v>
      </c>
      <c r="O99" s="40">
        <f>10002+500</f>
        <v>10502</v>
      </c>
      <c r="P99" s="17">
        <v>0</v>
      </c>
      <c r="Q99" s="17">
        <v>23875.279999999999</v>
      </c>
      <c r="R99" s="40">
        <f t="shared" si="2"/>
        <v>929556.28</v>
      </c>
    </row>
    <row r="100" spans="1:19">
      <c r="A100" s="32">
        <v>94</v>
      </c>
      <c r="B100" s="33" t="s">
        <v>9</v>
      </c>
      <c r="C100" s="34">
        <v>39729</v>
      </c>
      <c r="D100" s="27">
        <v>40139</v>
      </c>
      <c r="E100" s="15">
        <v>2008</v>
      </c>
      <c r="F100" s="32">
        <v>19840</v>
      </c>
      <c r="G100" s="35" t="s">
        <v>243</v>
      </c>
      <c r="H100" s="35" t="s">
        <v>79</v>
      </c>
      <c r="I100" s="27">
        <v>20</v>
      </c>
      <c r="J100" s="36">
        <v>5612</v>
      </c>
      <c r="K100" s="36">
        <v>56120</v>
      </c>
      <c r="L100" s="37">
        <v>0.25</v>
      </c>
      <c r="M100" s="15" t="s">
        <v>151</v>
      </c>
      <c r="N100" s="40">
        <v>112240</v>
      </c>
      <c r="O100" s="40">
        <v>14030</v>
      </c>
      <c r="P100" s="17">
        <v>0</v>
      </c>
      <c r="Q100" s="17">
        <v>15020.8</v>
      </c>
      <c r="R100" s="40">
        <f t="shared" si="2"/>
        <v>141290.79999999999</v>
      </c>
    </row>
    <row r="101" spans="1:19">
      <c r="A101" s="32">
        <v>95</v>
      </c>
      <c r="B101" s="33" t="s">
        <v>9</v>
      </c>
      <c r="C101" s="34">
        <v>39729</v>
      </c>
      <c r="D101" s="27">
        <v>40140</v>
      </c>
      <c r="E101" s="15">
        <v>2008</v>
      </c>
      <c r="F101" s="32">
        <v>19841</v>
      </c>
      <c r="G101" s="35" t="s">
        <v>243</v>
      </c>
      <c r="H101" s="35" t="s">
        <v>79</v>
      </c>
      <c r="I101" s="27">
        <v>150</v>
      </c>
      <c r="J101" s="36">
        <v>5612</v>
      </c>
      <c r="K101" s="36">
        <v>420900</v>
      </c>
      <c r="L101" s="37">
        <v>0.25</v>
      </c>
      <c r="M101" s="15" t="s">
        <v>151</v>
      </c>
      <c r="N101" s="40">
        <v>841800</v>
      </c>
      <c r="O101" s="40">
        <v>96220.55</v>
      </c>
      <c r="P101" s="17">
        <v>0</v>
      </c>
      <c r="Q101" s="17">
        <v>5916.36</v>
      </c>
      <c r="R101" s="40">
        <f t="shared" si="2"/>
        <v>943936.91</v>
      </c>
    </row>
    <row r="102" spans="1:19">
      <c r="A102" s="32">
        <v>96</v>
      </c>
      <c r="B102" s="42" t="s">
        <v>93</v>
      </c>
      <c r="C102" s="34">
        <v>39729</v>
      </c>
      <c r="D102" s="27">
        <v>40142</v>
      </c>
      <c r="E102" s="15">
        <v>2008</v>
      </c>
      <c r="F102" s="32">
        <v>19842</v>
      </c>
      <c r="G102" s="35" t="s">
        <v>243</v>
      </c>
      <c r="H102" s="35" t="s">
        <v>92</v>
      </c>
      <c r="I102" s="27">
        <v>88</v>
      </c>
      <c r="J102" s="36">
        <v>5001</v>
      </c>
      <c r="K102" s="36">
        <v>220044</v>
      </c>
      <c r="L102" s="37">
        <v>0.25</v>
      </c>
      <c r="M102" s="15" t="s">
        <v>150</v>
      </c>
      <c r="N102" s="40">
        <v>440088</v>
      </c>
      <c r="O102" s="40">
        <v>0</v>
      </c>
      <c r="P102" s="40">
        <v>0</v>
      </c>
      <c r="Q102" s="40">
        <v>0</v>
      </c>
      <c r="R102" s="40">
        <f t="shared" si="2"/>
        <v>440088</v>
      </c>
    </row>
    <row r="103" spans="1:19">
      <c r="A103" s="32">
        <v>97</v>
      </c>
      <c r="B103" s="33" t="s">
        <v>9</v>
      </c>
      <c r="C103" s="34">
        <v>39729</v>
      </c>
      <c r="D103" s="27">
        <v>40148</v>
      </c>
      <c r="E103" s="15">
        <v>2008</v>
      </c>
      <c r="F103" s="32">
        <v>19844</v>
      </c>
      <c r="G103" s="35" t="s">
        <v>243</v>
      </c>
      <c r="H103" s="35" t="s">
        <v>79</v>
      </c>
      <c r="I103" s="27">
        <v>89</v>
      </c>
      <c r="J103" s="36">
        <v>2392</v>
      </c>
      <c r="K103" s="36">
        <v>106444</v>
      </c>
      <c r="L103" s="37">
        <v>0.25</v>
      </c>
      <c r="M103" s="15" t="s">
        <v>151</v>
      </c>
      <c r="N103" s="40">
        <v>212888</v>
      </c>
      <c r="O103" s="40">
        <f>106444+89450.04</f>
        <v>195894.03999999998</v>
      </c>
      <c r="P103" s="17">
        <v>0</v>
      </c>
      <c r="Q103" s="17">
        <v>7466.3</v>
      </c>
      <c r="R103" s="40">
        <f t="shared" si="2"/>
        <v>416248.33999999997</v>
      </c>
    </row>
    <row r="104" spans="1:19">
      <c r="A104" s="32">
        <v>98</v>
      </c>
      <c r="B104" s="39" t="s">
        <v>95</v>
      </c>
      <c r="C104" s="34">
        <v>39729</v>
      </c>
      <c r="D104" s="27">
        <v>40153</v>
      </c>
      <c r="E104" s="15">
        <v>2008</v>
      </c>
      <c r="F104" s="32">
        <v>19845</v>
      </c>
      <c r="G104" s="35" t="s">
        <v>243</v>
      </c>
      <c r="H104" s="35" t="s">
        <v>79</v>
      </c>
      <c r="I104" s="27">
        <v>95</v>
      </c>
      <c r="J104" s="36">
        <v>2392</v>
      </c>
      <c r="K104" s="36">
        <v>113620</v>
      </c>
      <c r="L104" s="37">
        <v>0.25</v>
      </c>
      <c r="M104" s="15" t="s">
        <v>152</v>
      </c>
      <c r="N104" s="40">
        <v>227240</v>
      </c>
      <c r="O104" s="40">
        <f>113620+101988.9</f>
        <v>215608.9</v>
      </c>
      <c r="P104" s="17">
        <v>0</v>
      </c>
      <c r="Q104" s="17">
        <v>0</v>
      </c>
      <c r="R104" s="40">
        <f t="shared" si="2"/>
        <v>442848.9</v>
      </c>
      <c r="S104" s="11" t="s">
        <v>238</v>
      </c>
    </row>
    <row r="105" spans="1:19">
      <c r="A105" s="32">
        <v>99</v>
      </c>
      <c r="B105" s="39" t="s">
        <v>95</v>
      </c>
      <c r="C105" s="34">
        <v>39729</v>
      </c>
      <c r="D105" s="27">
        <v>40154</v>
      </c>
      <c r="E105" s="15">
        <v>2008</v>
      </c>
      <c r="F105" s="32">
        <v>19846</v>
      </c>
      <c r="G105" s="35" t="s">
        <v>243</v>
      </c>
      <c r="H105" s="35" t="s">
        <v>79</v>
      </c>
      <c r="I105" s="27">
        <v>40</v>
      </c>
      <c r="J105" s="36">
        <v>2392</v>
      </c>
      <c r="K105" s="36">
        <v>47840</v>
      </c>
      <c r="L105" s="37">
        <v>0.25</v>
      </c>
      <c r="M105" s="15" t="s">
        <v>152</v>
      </c>
      <c r="N105" s="40">
        <v>95680</v>
      </c>
      <c r="O105" s="40">
        <f>47840+22053.64</f>
        <v>69893.64</v>
      </c>
      <c r="P105" s="17">
        <v>0</v>
      </c>
      <c r="Q105" s="17">
        <v>0</v>
      </c>
      <c r="R105" s="40">
        <f t="shared" si="2"/>
        <v>165573.64000000001</v>
      </c>
      <c r="S105" s="11" t="s">
        <v>238</v>
      </c>
    </row>
    <row r="106" spans="1:19">
      <c r="A106" s="32">
        <v>100</v>
      </c>
      <c r="B106" s="33" t="s">
        <v>56</v>
      </c>
      <c r="C106" s="34">
        <v>39729</v>
      </c>
      <c r="D106" s="27">
        <v>40158</v>
      </c>
      <c r="E106" s="15">
        <v>2008</v>
      </c>
      <c r="F106" s="32">
        <v>19847</v>
      </c>
      <c r="G106" s="35" t="s">
        <v>243</v>
      </c>
      <c r="H106" s="35" t="s">
        <v>79</v>
      </c>
      <c r="I106" s="27">
        <v>117</v>
      </c>
      <c r="J106" s="36">
        <v>1160</v>
      </c>
      <c r="K106" s="36">
        <v>67860</v>
      </c>
      <c r="L106" s="37">
        <v>0.25</v>
      </c>
      <c r="M106" s="15" t="s">
        <v>151</v>
      </c>
      <c r="N106" s="40">
        <v>135720</v>
      </c>
      <c r="O106" s="40">
        <f>17163.94+19319.8+17163.94</f>
        <v>53647.679999999993</v>
      </c>
      <c r="P106" s="17">
        <v>0</v>
      </c>
      <c r="Q106" s="17">
        <v>0</v>
      </c>
      <c r="R106" s="40">
        <f t="shared" si="2"/>
        <v>189367.67999999999</v>
      </c>
    </row>
    <row r="107" spans="1:19">
      <c r="A107" s="32">
        <v>101</v>
      </c>
      <c r="B107" s="33" t="s">
        <v>56</v>
      </c>
      <c r="C107" s="34">
        <v>39729</v>
      </c>
      <c r="D107" s="27">
        <v>40159</v>
      </c>
      <c r="E107" s="15">
        <v>2008</v>
      </c>
      <c r="F107" s="32">
        <v>19848</v>
      </c>
      <c r="G107" s="35" t="s">
        <v>243</v>
      </c>
      <c r="H107" s="35" t="s">
        <v>79</v>
      </c>
      <c r="I107" s="27">
        <v>92</v>
      </c>
      <c r="J107" s="36">
        <v>1160</v>
      </c>
      <c r="K107" s="36">
        <v>53360</v>
      </c>
      <c r="L107" s="37">
        <v>0.25</v>
      </c>
      <c r="M107" s="15" t="s">
        <v>152</v>
      </c>
      <c r="N107" s="40">
        <v>106720</v>
      </c>
      <c r="O107" s="40">
        <f>53360+37521.94</f>
        <v>90881.94</v>
      </c>
      <c r="P107" s="17">
        <v>0</v>
      </c>
      <c r="Q107" s="17">
        <v>0</v>
      </c>
      <c r="R107" s="40">
        <f t="shared" si="2"/>
        <v>197601.94</v>
      </c>
      <c r="S107" s="11" t="s">
        <v>238</v>
      </c>
    </row>
    <row r="108" spans="1:19">
      <c r="A108" s="32">
        <v>102</v>
      </c>
      <c r="B108" s="44" t="s">
        <v>15</v>
      </c>
      <c r="C108" s="45">
        <v>39729</v>
      </c>
      <c r="D108" s="15">
        <v>40198</v>
      </c>
      <c r="E108" s="15">
        <v>2008</v>
      </c>
      <c r="F108" s="18">
        <v>19873</v>
      </c>
      <c r="G108" s="46" t="s">
        <v>120</v>
      </c>
      <c r="H108" s="46" t="s">
        <v>79</v>
      </c>
      <c r="I108" s="15">
        <v>4.4969999999999999</v>
      </c>
      <c r="J108" s="47">
        <v>3512</v>
      </c>
      <c r="K108" s="47">
        <v>7896.73</v>
      </c>
      <c r="L108" s="48">
        <v>0.25</v>
      </c>
      <c r="M108" s="15" t="s">
        <v>153</v>
      </c>
      <c r="N108" s="17">
        <v>15793.46</v>
      </c>
      <c r="O108" s="40">
        <f t="shared" ref="O108:O116" si="3">K108*2</f>
        <v>15793.46</v>
      </c>
      <c r="P108" s="40">
        <v>0</v>
      </c>
      <c r="Q108" s="40">
        <v>0</v>
      </c>
      <c r="R108" s="40">
        <f t="shared" si="2"/>
        <v>31586.92</v>
      </c>
      <c r="S108"/>
    </row>
    <row r="109" spans="1:19">
      <c r="A109" s="32">
        <v>103</v>
      </c>
      <c r="B109" s="44" t="s">
        <v>15</v>
      </c>
      <c r="C109" s="45">
        <v>39729</v>
      </c>
      <c r="D109" s="15">
        <v>40199</v>
      </c>
      <c r="E109" s="15">
        <v>2008</v>
      </c>
      <c r="F109" s="18">
        <v>19874</v>
      </c>
      <c r="G109" s="46" t="s">
        <v>120</v>
      </c>
      <c r="H109" s="46" t="s">
        <v>79</v>
      </c>
      <c r="I109" s="15">
        <v>5.5650000000000004</v>
      </c>
      <c r="J109" s="47">
        <v>2812</v>
      </c>
      <c r="K109" s="47">
        <v>7824.39</v>
      </c>
      <c r="L109" s="48">
        <v>0.25</v>
      </c>
      <c r="M109" s="15" t="s">
        <v>153</v>
      </c>
      <c r="N109" s="17">
        <v>15648.78</v>
      </c>
      <c r="O109" s="40">
        <f t="shared" si="3"/>
        <v>15648.78</v>
      </c>
      <c r="P109" s="40">
        <v>0</v>
      </c>
      <c r="Q109" s="40">
        <v>0</v>
      </c>
      <c r="R109" s="40">
        <f t="shared" si="2"/>
        <v>31297.56</v>
      </c>
      <c r="S109"/>
    </row>
    <row r="110" spans="1:19">
      <c r="A110" s="32">
        <v>104</v>
      </c>
      <c r="B110" s="44" t="s">
        <v>15</v>
      </c>
      <c r="C110" s="45">
        <v>39729</v>
      </c>
      <c r="D110" s="15">
        <v>40200</v>
      </c>
      <c r="E110" s="15">
        <v>2008</v>
      </c>
      <c r="F110" s="18">
        <v>19875</v>
      </c>
      <c r="G110" s="46" t="s">
        <v>120</v>
      </c>
      <c r="H110" s="46" t="s">
        <v>79</v>
      </c>
      <c r="I110" s="15">
        <v>17.756</v>
      </c>
      <c r="J110" s="47">
        <v>4212</v>
      </c>
      <c r="K110" s="47">
        <v>37394.14</v>
      </c>
      <c r="L110" s="48">
        <v>0.25</v>
      </c>
      <c r="M110" s="15" t="s">
        <v>153</v>
      </c>
      <c r="N110" s="17">
        <v>74788.27</v>
      </c>
      <c r="O110" s="40">
        <f t="shared" si="3"/>
        <v>74788.28</v>
      </c>
      <c r="P110" s="40">
        <v>0</v>
      </c>
      <c r="Q110" s="40">
        <v>0</v>
      </c>
      <c r="R110" s="40">
        <f t="shared" si="2"/>
        <v>149576.54999999999</v>
      </c>
      <c r="S110"/>
    </row>
    <row r="111" spans="1:19">
      <c r="A111" s="32">
        <v>105</v>
      </c>
      <c r="B111" s="44" t="s">
        <v>15</v>
      </c>
      <c r="C111" s="45">
        <v>39729</v>
      </c>
      <c r="D111" s="15">
        <v>40201</v>
      </c>
      <c r="E111" s="15">
        <v>2008</v>
      </c>
      <c r="F111" s="18">
        <v>19876</v>
      </c>
      <c r="G111" s="46" t="s">
        <v>120</v>
      </c>
      <c r="H111" s="46" t="s">
        <v>79</v>
      </c>
      <c r="I111" s="15">
        <v>2.415</v>
      </c>
      <c r="J111" s="47">
        <v>3512</v>
      </c>
      <c r="K111" s="47">
        <v>4240.74</v>
      </c>
      <c r="L111" s="48">
        <v>0.25</v>
      </c>
      <c r="M111" s="15" t="s">
        <v>153</v>
      </c>
      <c r="N111" s="17">
        <v>8481.48</v>
      </c>
      <c r="O111" s="40">
        <f t="shared" si="3"/>
        <v>8481.48</v>
      </c>
      <c r="P111" s="40">
        <v>0</v>
      </c>
      <c r="Q111" s="40">
        <v>0</v>
      </c>
      <c r="R111" s="40">
        <f t="shared" si="2"/>
        <v>16962.96</v>
      </c>
      <c r="S111"/>
    </row>
    <row r="112" spans="1:19">
      <c r="A112" s="32">
        <v>106</v>
      </c>
      <c r="B112" s="44" t="s">
        <v>15</v>
      </c>
      <c r="C112" s="45">
        <v>39729</v>
      </c>
      <c r="D112" s="15">
        <v>40202</v>
      </c>
      <c r="E112" s="15">
        <v>2008</v>
      </c>
      <c r="F112" s="18">
        <v>19877</v>
      </c>
      <c r="G112" s="46" t="s">
        <v>120</v>
      </c>
      <c r="H112" s="46" t="s">
        <v>79</v>
      </c>
      <c r="I112" s="15">
        <v>4.4809999999999999</v>
      </c>
      <c r="J112" s="47">
        <v>3092.21</v>
      </c>
      <c r="K112" s="47">
        <v>6928.09</v>
      </c>
      <c r="L112" s="48">
        <v>0.25</v>
      </c>
      <c r="M112" s="15" t="s">
        <v>153</v>
      </c>
      <c r="N112" s="17">
        <v>13856.18</v>
      </c>
      <c r="O112" s="40">
        <f t="shared" si="3"/>
        <v>13856.18</v>
      </c>
      <c r="P112" s="40">
        <v>0</v>
      </c>
      <c r="Q112" s="40">
        <v>0</v>
      </c>
      <c r="R112" s="40">
        <f t="shared" si="2"/>
        <v>27712.36</v>
      </c>
      <c r="S112"/>
    </row>
    <row r="113" spans="1:19">
      <c r="A113" s="32">
        <v>107</v>
      </c>
      <c r="B113" s="44" t="s">
        <v>15</v>
      </c>
      <c r="C113" s="45">
        <v>39729</v>
      </c>
      <c r="D113" s="15">
        <v>40203</v>
      </c>
      <c r="E113" s="15">
        <v>2008</v>
      </c>
      <c r="F113" s="18">
        <v>19878</v>
      </c>
      <c r="G113" s="46" t="s">
        <v>120</v>
      </c>
      <c r="H113" s="46" t="s">
        <v>79</v>
      </c>
      <c r="I113" s="15">
        <v>2.8780000000000001</v>
      </c>
      <c r="J113" s="47">
        <v>5612</v>
      </c>
      <c r="K113" s="47">
        <v>8075.67</v>
      </c>
      <c r="L113" s="48">
        <v>0.25</v>
      </c>
      <c r="M113" s="15" t="s">
        <v>153</v>
      </c>
      <c r="N113" s="17">
        <v>16151.34</v>
      </c>
      <c r="O113" s="40">
        <f t="shared" si="3"/>
        <v>16151.34</v>
      </c>
      <c r="P113" s="40">
        <v>0</v>
      </c>
      <c r="Q113" s="40">
        <v>0</v>
      </c>
      <c r="R113" s="40">
        <f t="shared" si="2"/>
        <v>32302.68</v>
      </c>
      <c r="S113"/>
    </row>
    <row r="114" spans="1:19">
      <c r="A114" s="32">
        <v>108</v>
      </c>
      <c r="B114" s="44" t="s">
        <v>15</v>
      </c>
      <c r="C114" s="45">
        <v>39729</v>
      </c>
      <c r="D114" s="15">
        <v>40204</v>
      </c>
      <c r="E114" s="15">
        <v>2008</v>
      </c>
      <c r="F114" s="18">
        <v>19879</v>
      </c>
      <c r="G114" s="46" t="s">
        <v>120</v>
      </c>
      <c r="H114" s="46" t="s">
        <v>79</v>
      </c>
      <c r="I114" s="15">
        <v>8.1720000000000006</v>
      </c>
      <c r="J114" s="47">
        <v>3092</v>
      </c>
      <c r="K114" s="47">
        <v>12633.91</v>
      </c>
      <c r="L114" s="48">
        <v>0.25</v>
      </c>
      <c r="M114" s="15" t="s">
        <v>153</v>
      </c>
      <c r="N114" s="17">
        <v>25267.82</v>
      </c>
      <c r="O114" s="40">
        <f t="shared" si="3"/>
        <v>25267.82</v>
      </c>
      <c r="P114" s="40">
        <v>0</v>
      </c>
      <c r="Q114" s="40">
        <v>0</v>
      </c>
      <c r="R114" s="40">
        <f t="shared" si="2"/>
        <v>50535.64</v>
      </c>
      <c r="S114"/>
    </row>
    <row r="115" spans="1:19">
      <c r="A115" s="32">
        <v>109</v>
      </c>
      <c r="B115" s="44" t="s">
        <v>15</v>
      </c>
      <c r="C115" s="45">
        <v>39729</v>
      </c>
      <c r="D115" s="15">
        <v>40205</v>
      </c>
      <c r="E115" s="15">
        <v>2008</v>
      </c>
      <c r="F115" s="18">
        <v>19880</v>
      </c>
      <c r="G115" s="46" t="s">
        <v>120</v>
      </c>
      <c r="H115" s="46" t="s">
        <v>79</v>
      </c>
      <c r="I115" s="15">
        <v>4.1429999999999998</v>
      </c>
      <c r="J115" s="47">
        <v>5612</v>
      </c>
      <c r="K115" s="47">
        <v>11625.26</v>
      </c>
      <c r="L115" s="48">
        <v>0.25</v>
      </c>
      <c r="M115" s="15" t="s">
        <v>153</v>
      </c>
      <c r="N115" s="17">
        <v>23250.52</v>
      </c>
      <c r="O115" s="40">
        <f t="shared" si="3"/>
        <v>23250.52</v>
      </c>
      <c r="P115" s="40">
        <v>0</v>
      </c>
      <c r="Q115" s="40">
        <v>0</v>
      </c>
      <c r="R115" s="40">
        <f t="shared" si="2"/>
        <v>46501.04</v>
      </c>
      <c r="S115"/>
    </row>
    <row r="116" spans="1:19">
      <c r="A116" s="32">
        <v>110</v>
      </c>
      <c r="B116" s="44" t="s">
        <v>15</v>
      </c>
      <c r="C116" s="45">
        <v>39729</v>
      </c>
      <c r="D116" s="15">
        <v>40206</v>
      </c>
      <c r="E116" s="15">
        <v>2008</v>
      </c>
      <c r="F116" s="18">
        <v>19881</v>
      </c>
      <c r="G116" s="46" t="s">
        <v>120</v>
      </c>
      <c r="H116" s="46" t="s">
        <v>79</v>
      </c>
      <c r="I116" s="15">
        <v>3.202</v>
      </c>
      <c r="J116" s="47">
        <v>3092</v>
      </c>
      <c r="K116" s="47">
        <v>4950.29</v>
      </c>
      <c r="L116" s="48">
        <v>0.25</v>
      </c>
      <c r="M116" s="15" t="s">
        <v>153</v>
      </c>
      <c r="N116" s="17">
        <v>9900.58</v>
      </c>
      <c r="O116" s="40">
        <f t="shared" si="3"/>
        <v>9900.58</v>
      </c>
      <c r="P116" s="40">
        <v>0</v>
      </c>
      <c r="Q116" s="40">
        <v>0</v>
      </c>
      <c r="R116" s="40">
        <f t="shared" si="2"/>
        <v>19801.16</v>
      </c>
      <c r="S116"/>
    </row>
    <row r="117" spans="1:19">
      <c r="A117" s="32">
        <v>111</v>
      </c>
      <c r="B117" s="33" t="s">
        <v>29</v>
      </c>
      <c r="C117" s="34">
        <v>39729</v>
      </c>
      <c r="D117" s="27">
        <v>40213</v>
      </c>
      <c r="E117" s="15">
        <v>2008</v>
      </c>
      <c r="F117" s="32">
        <v>19882</v>
      </c>
      <c r="G117" s="35" t="s">
        <v>243</v>
      </c>
      <c r="H117" s="35" t="s">
        <v>79</v>
      </c>
      <c r="I117" s="27">
        <v>6.05</v>
      </c>
      <c r="J117" s="36">
        <v>3792</v>
      </c>
      <c r="K117" s="36">
        <v>11470.8</v>
      </c>
      <c r="L117" s="37">
        <v>0.25</v>
      </c>
      <c r="M117" s="15" t="s">
        <v>150</v>
      </c>
      <c r="N117" s="40">
        <v>22941.599999999999</v>
      </c>
      <c r="O117" s="40">
        <v>0</v>
      </c>
      <c r="P117" s="40">
        <v>0</v>
      </c>
      <c r="Q117" s="40">
        <v>0</v>
      </c>
      <c r="R117" s="40">
        <f t="shared" si="2"/>
        <v>22941.599999999999</v>
      </c>
      <c r="S117"/>
    </row>
    <row r="118" spans="1:19">
      <c r="A118" s="32">
        <v>112</v>
      </c>
      <c r="B118" s="33" t="s">
        <v>29</v>
      </c>
      <c r="C118" s="34">
        <v>39729</v>
      </c>
      <c r="D118" s="27">
        <v>40214</v>
      </c>
      <c r="E118" s="15">
        <v>2008</v>
      </c>
      <c r="F118" s="32">
        <v>19883</v>
      </c>
      <c r="G118" s="35" t="s">
        <v>243</v>
      </c>
      <c r="H118" s="35" t="s">
        <v>79</v>
      </c>
      <c r="I118" s="27">
        <v>8.92</v>
      </c>
      <c r="J118" s="36">
        <v>2812</v>
      </c>
      <c r="K118" s="36">
        <v>12541.52</v>
      </c>
      <c r="L118" s="37">
        <v>0.25</v>
      </c>
      <c r="M118" s="15" t="s">
        <v>150</v>
      </c>
      <c r="N118" s="40">
        <v>25083.040000000001</v>
      </c>
      <c r="O118" s="40">
        <v>0</v>
      </c>
      <c r="P118" s="40">
        <v>0</v>
      </c>
      <c r="Q118" s="40">
        <v>0</v>
      </c>
      <c r="R118" s="40">
        <f t="shared" si="2"/>
        <v>25083.040000000001</v>
      </c>
      <c r="S118"/>
    </row>
    <row r="119" spans="1:19">
      <c r="A119" s="32">
        <v>113</v>
      </c>
      <c r="B119" s="33" t="s">
        <v>29</v>
      </c>
      <c r="C119" s="34">
        <v>39729</v>
      </c>
      <c r="D119" s="27">
        <v>40215</v>
      </c>
      <c r="E119" s="15">
        <v>2008</v>
      </c>
      <c r="F119" s="32">
        <v>19884</v>
      </c>
      <c r="G119" s="35" t="s">
        <v>243</v>
      </c>
      <c r="H119" s="35" t="s">
        <v>79</v>
      </c>
      <c r="I119" s="27">
        <v>3.52</v>
      </c>
      <c r="J119" s="36">
        <v>4212</v>
      </c>
      <c r="K119" s="36">
        <v>7413.12</v>
      </c>
      <c r="L119" s="37">
        <v>0.25</v>
      </c>
      <c r="M119" s="15" t="s">
        <v>150</v>
      </c>
      <c r="N119" s="40">
        <v>14826.24</v>
      </c>
      <c r="O119" s="40">
        <v>0</v>
      </c>
      <c r="P119" s="40">
        <v>0</v>
      </c>
      <c r="Q119" s="40">
        <v>0</v>
      </c>
      <c r="R119" s="40">
        <f t="shared" si="2"/>
        <v>14826.24</v>
      </c>
      <c r="S119"/>
    </row>
    <row r="120" spans="1:19">
      <c r="A120" s="32">
        <v>114</v>
      </c>
      <c r="B120" s="33" t="s">
        <v>29</v>
      </c>
      <c r="C120" s="34">
        <v>39729</v>
      </c>
      <c r="D120" s="27">
        <v>40216</v>
      </c>
      <c r="E120" s="15">
        <v>2008</v>
      </c>
      <c r="F120" s="32">
        <v>19885</v>
      </c>
      <c r="G120" s="35" t="s">
        <v>243</v>
      </c>
      <c r="H120" s="35" t="s">
        <v>79</v>
      </c>
      <c r="I120" s="27">
        <v>3.12</v>
      </c>
      <c r="J120" s="36">
        <v>4212</v>
      </c>
      <c r="K120" s="36">
        <v>6570.72</v>
      </c>
      <c r="L120" s="37">
        <v>0.25</v>
      </c>
      <c r="M120" s="15" t="s">
        <v>150</v>
      </c>
      <c r="N120" s="40">
        <v>13141.44</v>
      </c>
      <c r="O120" s="40">
        <v>0</v>
      </c>
      <c r="P120" s="40">
        <v>0</v>
      </c>
      <c r="Q120" s="40">
        <v>0</v>
      </c>
      <c r="R120" s="40">
        <f t="shared" si="2"/>
        <v>13141.44</v>
      </c>
      <c r="S120"/>
    </row>
    <row r="121" spans="1:19">
      <c r="A121" s="32">
        <v>115</v>
      </c>
      <c r="B121" s="33" t="s">
        <v>9</v>
      </c>
      <c r="C121" s="34">
        <v>39729</v>
      </c>
      <c r="D121" s="27">
        <v>40217</v>
      </c>
      <c r="E121" s="15">
        <v>2008</v>
      </c>
      <c r="F121" s="32">
        <v>19886</v>
      </c>
      <c r="G121" s="35" t="s">
        <v>243</v>
      </c>
      <c r="H121" s="35" t="s">
        <v>92</v>
      </c>
      <c r="I121" s="27">
        <v>40</v>
      </c>
      <c r="J121" s="36">
        <v>12001</v>
      </c>
      <c r="K121" s="36">
        <v>240020</v>
      </c>
      <c r="L121" s="37">
        <v>0.25</v>
      </c>
      <c r="M121" s="15" t="s">
        <v>151</v>
      </c>
      <c r="N121" s="40">
        <v>480040</v>
      </c>
      <c r="O121" s="40">
        <v>0</v>
      </c>
      <c r="P121" s="17">
        <v>0</v>
      </c>
      <c r="Q121" s="17">
        <v>58934.22</v>
      </c>
      <c r="R121" s="40">
        <f t="shared" si="2"/>
        <v>538974.22</v>
      </c>
      <c r="S121"/>
    </row>
    <row r="122" spans="1:19">
      <c r="A122" s="32">
        <v>116</v>
      </c>
      <c r="B122" s="33" t="s">
        <v>19</v>
      </c>
      <c r="C122" s="34">
        <v>39729</v>
      </c>
      <c r="D122" s="27">
        <v>40218</v>
      </c>
      <c r="E122" s="15">
        <v>2008</v>
      </c>
      <c r="F122" s="32">
        <v>19887</v>
      </c>
      <c r="G122" s="35" t="s">
        <v>243</v>
      </c>
      <c r="H122" s="35" t="s">
        <v>13</v>
      </c>
      <c r="I122" s="27">
        <v>11.13</v>
      </c>
      <c r="J122" s="36">
        <v>15255</v>
      </c>
      <c r="K122" s="36">
        <v>84894.080000000002</v>
      </c>
      <c r="L122" s="37">
        <v>0.25</v>
      </c>
      <c r="M122" s="15" t="s">
        <v>151</v>
      </c>
      <c r="N122" s="40">
        <v>169788.15</v>
      </c>
      <c r="O122" s="40">
        <v>84894.080000000002</v>
      </c>
      <c r="P122" s="40">
        <v>0</v>
      </c>
      <c r="Q122" s="40">
        <v>18794.48</v>
      </c>
      <c r="R122" s="40">
        <f t="shared" si="2"/>
        <v>273476.70999999996</v>
      </c>
      <c r="S122"/>
    </row>
    <row r="123" spans="1:19">
      <c r="A123" s="32">
        <v>117</v>
      </c>
      <c r="B123" s="44" t="s">
        <v>29</v>
      </c>
      <c r="C123" s="45">
        <v>39729</v>
      </c>
      <c r="D123" s="15">
        <v>40388</v>
      </c>
      <c r="E123" s="15">
        <v>2008</v>
      </c>
      <c r="F123" s="18">
        <v>19918</v>
      </c>
      <c r="G123" s="46" t="s">
        <v>133</v>
      </c>
      <c r="H123" s="46" t="s">
        <v>13</v>
      </c>
      <c r="I123" s="15">
        <v>1</v>
      </c>
      <c r="J123" s="47">
        <v>28055</v>
      </c>
      <c r="K123" s="47">
        <v>14027.5</v>
      </c>
      <c r="L123" s="48">
        <v>0.27500000000000002</v>
      </c>
      <c r="M123" s="15" t="s">
        <v>150</v>
      </c>
      <c r="N123" s="17">
        <v>28055</v>
      </c>
      <c r="O123" s="40">
        <v>0</v>
      </c>
      <c r="P123" s="40">
        <v>0</v>
      </c>
      <c r="Q123" s="40">
        <v>0</v>
      </c>
      <c r="R123" s="40">
        <f t="shared" si="2"/>
        <v>28055</v>
      </c>
      <c r="S123"/>
    </row>
    <row r="124" spans="1:19">
      <c r="A124" s="32">
        <v>118</v>
      </c>
      <c r="B124" s="44" t="s">
        <v>9</v>
      </c>
      <c r="C124" s="45">
        <v>39729</v>
      </c>
      <c r="D124" s="15">
        <v>40397</v>
      </c>
      <c r="E124" s="15">
        <v>2008</v>
      </c>
      <c r="F124" s="18">
        <v>19919</v>
      </c>
      <c r="G124" s="46" t="s">
        <v>134</v>
      </c>
      <c r="H124" s="46" t="s">
        <v>92</v>
      </c>
      <c r="I124" s="15">
        <v>366.98</v>
      </c>
      <c r="J124" s="47">
        <v>12001</v>
      </c>
      <c r="K124" s="47">
        <v>2202063.4900000002</v>
      </c>
      <c r="L124" s="48">
        <v>0.25</v>
      </c>
      <c r="M124" s="15" t="s">
        <v>153</v>
      </c>
      <c r="N124" s="17">
        <v>4404126.9800000004</v>
      </c>
      <c r="O124" s="40">
        <v>6425</v>
      </c>
      <c r="P124" s="40">
        <v>0</v>
      </c>
      <c r="Q124" s="40">
        <v>0</v>
      </c>
      <c r="R124" s="40">
        <f t="shared" si="2"/>
        <v>4410551.9800000004</v>
      </c>
      <c r="S124"/>
    </row>
    <row r="125" spans="1:19">
      <c r="A125" s="32">
        <v>119</v>
      </c>
      <c r="B125" s="33" t="s">
        <v>9</v>
      </c>
      <c r="C125" s="34">
        <v>39729</v>
      </c>
      <c r="D125" s="27">
        <v>40433</v>
      </c>
      <c r="E125" s="15">
        <v>2008</v>
      </c>
      <c r="F125" s="32">
        <v>19923</v>
      </c>
      <c r="G125" s="35" t="s">
        <v>243</v>
      </c>
      <c r="H125" s="35" t="s">
        <v>96</v>
      </c>
      <c r="I125" s="27">
        <v>20.07</v>
      </c>
      <c r="J125" s="36">
        <v>8670</v>
      </c>
      <c r="K125" s="36">
        <v>87003.45</v>
      </c>
      <c r="L125" s="37">
        <v>0.25</v>
      </c>
      <c r="M125" s="15" t="s">
        <v>151</v>
      </c>
      <c r="N125" s="40">
        <v>174006.9</v>
      </c>
      <c r="O125" s="40">
        <v>0</v>
      </c>
      <c r="P125" s="17">
        <v>0</v>
      </c>
      <c r="Q125" s="17">
        <v>89163.27</v>
      </c>
      <c r="R125" s="40">
        <f t="shared" si="2"/>
        <v>263170.17</v>
      </c>
      <c r="S125"/>
    </row>
    <row r="126" spans="1:19">
      <c r="A126" s="32">
        <v>120</v>
      </c>
      <c r="B126" s="39" t="s">
        <v>11</v>
      </c>
      <c r="C126" s="34">
        <v>39764</v>
      </c>
      <c r="D126" s="27">
        <v>40437</v>
      </c>
      <c r="E126" s="15">
        <v>2008</v>
      </c>
      <c r="F126" s="32">
        <v>19927</v>
      </c>
      <c r="G126" s="35" t="s">
        <v>243</v>
      </c>
      <c r="H126" s="35" t="s">
        <v>79</v>
      </c>
      <c r="I126" s="27">
        <v>127</v>
      </c>
      <c r="J126" s="36">
        <v>587</v>
      </c>
      <c r="K126" s="36">
        <v>37274.5</v>
      </c>
      <c r="L126" s="37">
        <v>0.25</v>
      </c>
      <c r="M126" s="15" t="s">
        <v>153</v>
      </c>
      <c r="N126" s="40">
        <v>74549</v>
      </c>
      <c r="O126" s="40">
        <f>37274.5+37274.5</f>
        <v>74549</v>
      </c>
      <c r="P126" s="40">
        <v>0</v>
      </c>
      <c r="Q126" s="40">
        <v>0</v>
      </c>
      <c r="R126" s="40">
        <f t="shared" si="2"/>
        <v>149098</v>
      </c>
    </row>
    <row r="127" spans="1:19">
      <c r="A127" s="32">
        <v>121</v>
      </c>
      <c r="B127" s="33" t="s">
        <v>15</v>
      </c>
      <c r="C127" s="34">
        <v>39764</v>
      </c>
      <c r="D127" s="27">
        <v>40441</v>
      </c>
      <c r="E127" s="15">
        <v>2008</v>
      </c>
      <c r="F127" s="32">
        <v>19928</v>
      </c>
      <c r="G127" s="35" t="s">
        <v>243</v>
      </c>
      <c r="H127" s="35" t="s">
        <v>79</v>
      </c>
      <c r="I127" s="27">
        <v>5</v>
      </c>
      <c r="J127" s="36">
        <v>587</v>
      </c>
      <c r="K127" s="36">
        <v>1467.5</v>
      </c>
      <c r="L127" s="37">
        <v>0.25</v>
      </c>
      <c r="M127" s="15" t="s">
        <v>153</v>
      </c>
      <c r="N127" s="40">
        <v>2935</v>
      </c>
      <c r="O127" s="40">
        <f>1467.5+1467.5</f>
        <v>2935</v>
      </c>
      <c r="P127" s="40">
        <v>0</v>
      </c>
      <c r="Q127" s="40">
        <v>0</v>
      </c>
      <c r="R127" s="40">
        <f t="shared" si="2"/>
        <v>5870</v>
      </c>
    </row>
    <row r="128" spans="1:19">
      <c r="A128" s="32">
        <v>122</v>
      </c>
      <c r="B128" s="39" t="s">
        <v>61</v>
      </c>
      <c r="C128" s="34">
        <v>39764</v>
      </c>
      <c r="D128" s="27">
        <v>40442</v>
      </c>
      <c r="E128" s="15">
        <v>2008</v>
      </c>
      <c r="F128" s="32">
        <v>19929</v>
      </c>
      <c r="G128" s="35" t="s">
        <v>243</v>
      </c>
      <c r="H128" s="35" t="s">
        <v>79</v>
      </c>
      <c r="I128" s="27">
        <v>346</v>
      </c>
      <c r="J128" s="36">
        <v>787</v>
      </c>
      <c r="K128" s="36">
        <v>136151</v>
      </c>
      <c r="L128" s="37">
        <v>0.25</v>
      </c>
      <c r="M128" s="15" t="s">
        <v>151</v>
      </c>
      <c r="N128" s="40">
        <v>272302</v>
      </c>
      <c r="O128" s="40">
        <f>136151+53934.29</f>
        <v>190085.29</v>
      </c>
      <c r="P128" s="17">
        <v>166.98</v>
      </c>
      <c r="Q128" s="17">
        <v>806.19</v>
      </c>
      <c r="R128" s="40">
        <f t="shared" si="2"/>
        <v>463360.46</v>
      </c>
    </row>
    <row r="129" spans="1:19">
      <c r="A129" s="32">
        <v>123</v>
      </c>
      <c r="B129" s="44" t="s">
        <v>29</v>
      </c>
      <c r="C129" s="45">
        <v>39764</v>
      </c>
      <c r="D129" s="15">
        <v>40515</v>
      </c>
      <c r="E129" s="15">
        <v>2008</v>
      </c>
      <c r="F129" s="18">
        <v>19954</v>
      </c>
      <c r="G129" s="46" t="s">
        <v>134</v>
      </c>
      <c r="H129" s="46" t="s">
        <v>97</v>
      </c>
      <c r="I129" s="15">
        <v>31.11</v>
      </c>
      <c r="J129" s="47">
        <v>355</v>
      </c>
      <c r="K129" s="47">
        <v>5522.03</v>
      </c>
      <c r="L129" s="48">
        <v>0.22500000000000001</v>
      </c>
      <c r="M129" s="15" t="s">
        <v>153</v>
      </c>
      <c r="N129" s="17">
        <v>11044.05</v>
      </c>
      <c r="O129" s="40">
        <v>0</v>
      </c>
      <c r="P129" s="40">
        <v>0</v>
      </c>
      <c r="Q129" s="40">
        <v>0</v>
      </c>
      <c r="R129" s="40">
        <f t="shared" si="2"/>
        <v>11044.05</v>
      </c>
      <c r="S129"/>
    </row>
    <row r="130" spans="1:19">
      <c r="A130" s="32">
        <v>124</v>
      </c>
      <c r="B130" s="44" t="s">
        <v>15</v>
      </c>
      <c r="C130" s="45">
        <v>39764</v>
      </c>
      <c r="D130" s="15">
        <v>40554</v>
      </c>
      <c r="E130" s="15">
        <v>2008</v>
      </c>
      <c r="F130" s="18">
        <v>19955</v>
      </c>
      <c r="G130" s="46" t="s">
        <v>122</v>
      </c>
      <c r="H130" s="46" t="s">
        <v>18</v>
      </c>
      <c r="I130" s="15">
        <v>147.76</v>
      </c>
      <c r="J130" s="47">
        <v>753</v>
      </c>
      <c r="K130" s="47">
        <v>55631.64</v>
      </c>
      <c r="L130" s="48">
        <v>0.25</v>
      </c>
      <c r="M130" s="59" t="s">
        <v>135</v>
      </c>
      <c r="N130" s="17">
        <v>111263.28</v>
      </c>
      <c r="O130" s="40"/>
      <c r="P130" s="40"/>
      <c r="Q130" s="40"/>
      <c r="R130" s="40">
        <f t="shared" si="2"/>
        <v>111263.28</v>
      </c>
      <c r="S130"/>
    </row>
    <row r="131" spans="1:19">
      <c r="A131" s="32">
        <v>125</v>
      </c>
      <c r="B131" s="44" t="s">
        <v>9</v>
      </c>
      <c r="C131" s="45">
        <v>39792</v>
      </c>
      <c r="D131" s="15">
        <v>40703</v>
      </c>
      <c r="E131" s="15">
        <v>2008</v>
      </c>
      <c r="F131" s="18">
        <v>19985</v>
      </c>
      <c r="G131" s="46" t="s">
        <v>136</v>
      </c>
      <c r="H131" s="46" t="s">
        <v>79</v>
      </c>
      <c r="I131" s="15">
        <v>113</v>
      </c>
      <c r="J131" s="47">
        <v>1900</v>
      </c>
      <c r="K131" s="47">
        <v>107350</v>
      </c>
      <c r="L131" s="48">
        <v>0.25</v>
      </c>
      <c r="M131" s="15" t="s">
        <v>151</v>
      </c>
      <c r="N131" s="17">
        <v>214700</v>
      </c>
      <c r="O131" s="40">
        <v>0</v>
      </c>
      <c r="P131" s="40">
        <v>0</v>
      </c>
      <c r="Q131" s="40">
        <v>172414.41</v>
      </c>
      <c r="R131" s="40">
        <f t="shared" si="2"/>
        <v>387114.41000000003</v>
      </c>
      <c r="S131"/>
    </row>
    <row r="132" spans="1:19" ht="17.25">
      <c r="A132" s="32">
        <v>126</v>
      </c>
      <c r="B132" s="44" t="s">
        <v>19</v>
      </c>
      <c r="C132" s="45">
        <v>39792</v>
      </c>
      <c r="D132" s="15">
        <v>40731</v>
      </c>
      <c r="E132" s="15">
        <v>2008</v>
      </c>
      <c r="F132" s="18">
        <v>19994</v>
      </c>
      <c r="G132" s="46" t="s">
        <v>137</v>
      </c>
      <c r="H132" s="46" t="s">
        <v>53</v>
      </c>
      <c r="I132" s="15">
        <v>5</v>
      </c>
      <c r="J132" s="47">
        <v>500</v>
      </c>
      <c r="K132" s="47">
        <v>1250</v>
      </c>
      <c r="L132" s="48">
        <v>0.25</v>
      </c>
      <c r="M132" s="15" t="s">
        <v>150</v>
      </c>
      <c r="N132" s="52">
        <v>2500</v>
      </c>
      <c r="O132" s="51">
        <v>0</v>
      </c>
      <c r="P132" s="51">
        <v>0</v>
      </c>
      <c r="Q132" s="51">
        <v>0</v>
      </c>
      <c r="R132" s="51">
        <f t="shared" si="2"/>
        <v>2500</v>
      </c>
      <c r="S132"/>
    </row>
    <row r="133" spans="1:19">
      <c r="M133" s="22" t="s">
        <v>257</v>
      </c>
      <c r="N133" s="23">
        <f>SUM(N7:N132)</f>
        <v>203737687.30000004</v>
      </c>
      <c r="O133" s="24">
        <f>SUM(O7:O132)</f>
        <v>19385876.009999998</v>
      </c>
      <c r="P133" s="24">
        <f>SUM(P7:P132)</f>
        <v>31103.879999999997</v>
      </c>
      <c r="Q133" s="24">
        <f>SUM(Q7:Q132)</f>
        <v>11538029.549999999</v>
      </c>
      <c r="R133" s="24">
        <f>SUM(R7:R132)</f>
        <v>234692696.73999995</v>
      </c>
      <c r="S133"/>
    </row>
  </sheetData>
  <autoFilter ref="B6:S132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5" fitToHeight="23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workbookViewId="0"/>
  </sheetViews>
  <sheetFormatPr defaultRowHeight="15"/>
  <cols>
    <col min="1" max="1" width="5.42578125" customWidth="1"/>
    <col min="2" max="2" width="23.28515625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36.140625" bestFit="1" customWidth="1"/>
    <col min="8" max="8" width="40.285156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258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33" t="s">
        <v>19</v>
      </c>
      <c r="C7" s="34">
        <v>39827</v>
      </c>
      <c r="D7" s="27">
        <v>40737</v>
      </c>
      <c r="E7" s="15">
        <v>2009</v>
      </c>
      <c r="F7" s="32">
        <v>19999</v>
      </c>
      <c r="G7" s="35" t="s">
        <v>243</v>
      </c>
      <c r="H7" s="35" t="s">
        <v>98</v>
      </c>
      <c r="I7" s="27">
        <v>101</v>
      </c>
      <c r="J7" s="36">
        <v>801</v>
      </c>
      <c r="K7" s="36">
        <v>40450.5</v>
      </c>
      <c r="L7" s="37">
        <v>0.25</v>
      </c>
      <c r="M7" s="15" t="s">
        <v>151</v>
      </c>
      <c r="N7" s="38">
        <v>80901</v>
      </c>
      <c r="O7" s="38">
        <v>40450.5</v>
      </c>
      <c r="P7" s="38">
        <v>0</v>
      </c>
      <c r="Q7" s="38">
        <v>93419.26</v>
      </c>
      <c r="R7" s="38">
        <f t="shared" ref="R7:R31" si="0">SUM(N7:Q7)</f>
        <v>214770.76</v>
      </c>
    </row>
    <row r="8" spans="1:19">
      <c r="A8" s="32">
        <v>2</v>
      </c>
      <c r="B8" s="39" t="s">
        <v>90</v>
      </c>
      <c r="C8" s="34">
        <v>39855</v>
      </c>
      <c r="D8" s="27">
        <v>40809</v>
      </c>
      <c r="E8" s="15">
        <v>2009</v>
      </c>
      <c r="F8" s="32">
        <v>20014</v>
      </c>
      <c r="G8" s="35" t="s">
        <v>243</v>
      </c>
      <c r="H8" s="35" t="s">
        <v>31</v>
      </c>
      <c r="I8" s="27">
        <v>56</v>
      </c>
      <c r="J8" s="36">
        <v>1051</v>
      </c>
      <c r="K8" s="36">
        <v>29428</v>
      </c>
      <c r="L8" s="37">
        <v>0.25</v>
      </c>
      <c r="M8" s="15" t="s">
        <v>151</v>
      </c>
      <c r="N8" s="40">
        <v>58856</v>
      </c>
      <c r="O8" s="40">
        <v>0</v>
      </c>
      <c r="P8" s="17">
        <v>0</v>
      </c>
      <c r="Q8" s="17">
        <v>160703.93</v>
      </c>
      <c r="R8" s="40">
        <f t="shared" si="0"/>
        <v>219559.93</v>
      </c>
    </row>
    <row r="9" spans="1:19">
      <c r="A9" s="32">
        <v>3</v>
      </c>
      <c r="B9" s="33" t="s">
        <v>19</v>
      </c>
      <c r="C9" s="34">
        <v>39855</v>
      </c>
      <c r="D9" s="27">
        <v>40810</v>
      </c>
      <c r="E9" s="15">
        <v>2009</v>
      </c>
      <c r="F9" s="32">
        <v>20015</v>
      </c>
      <c r="G9" s="35" t="s">
        <v>243</v>
      </c>
      <c r="H9" s="35" t="s">
        <v>31</v>
      </c>
      <c r="I9" s="27">
        <v>85</v>
      </c>
      <c r="J9" s="36">
        <v>1051</v>
      </c>
      <c r="K9" s="36">
        <v>44667.5</v>
      </c>
      <c r="L9" s="37">
        <v>0.25</v>
      </c>
      <c r="M9" s="15" t="s">
        <v>151</v>
      </c>
      <c r="N9" s="40">
        <v>89335</v>
      </c>
      <c r="O9" s="40">
        <v>0</v>
      </c>
      <c r="P9" s="17">
        <v>0</v>
      </c>
      <c r="Q9" s="17">
        <v>131151.9</v>
      </c>
      <c r="R9" s="40">
        <f t="shared" si="0"/>
        <v>220486.9</v>
      </c>
    </row>
    <row r="10" spans="1:19">
      <c r="A10" s="32">
        <v>4</v>
      </c>
      <c r="B10" s="39" t="s">
        <v>11</v>
      </c>
      <c r="C10" s="34">
        <v>39883</v>
      </c>
      <c r="D10" s="27">
        <v>40842</v>
      </c>
      <c r="E10" s="15">
        <v>2009</v>
      </c>
      <c r="F10" s="32">
        <v>20030</v>
      </c>
      <c r="G10" s="35" t="s">
        <v>243</v>
      </c>
      <c r="H10" s="35" t="s">
        <v>98</v>
      </c>
      <c r="I10" s="27">
        <v>437</v>
      </c>
      <c r="J10" s="36">
        <v>1577</v>
      </c>
      <c r="K10" s="36">
        <v>344574.5</v>
      </c>
      <c r="L10" s="37">
        <v>0.25</v>
      </c>
      <c r="M10" s="15" t="s">
        <v>151</v>
      </c>
      <c r="N10" s="40">
        <v>689149</v>
      </c>
      <c r="O10" s="40">
        <f>-500+240492.5+3300+240492.5</f>
        <v>483785</v>
      </c>
      <c r="P10" s="40">
        <v>0</v>
      </c>
      <c r="Q10" s="40">
        <v>193823.91</v>
      </c>
      <c r="R10" s="40">
        <f t="shared" si="0"/>
        <v>1366757.91</v>
      </c>
    </row>
    <row r="11" spans="1:19">
      <c r="A11" s="32">
        <v>5</v>
      </c>
      <c r="B11" s="33" t="s">
        <v>19</v>
      </c>
      <c r="C11" s="34">
        <v>39911</v>
      </c>
      <c r="D11" s="27">
        <v>40896</v>
      </c>
      <c r="E11" s="15">
        <v>2009</v>
      </c>
      <c r="F11" s="32">
        <v>20036</v>
      </c>
      <c r="G11" s="35" t="s">
        <v>243</v>
      </c>
      <c r="H11" s="35" t="s">
        <v>31</v>
      </c>
      <c r="I11" s="27">
        <v>44</v>
      </c>
      <c r="J11" s="36">
        <v>1723</v>
      </c>
      <c r="K11" s="36">
        <v>37906</v>
      </c>
      <c r="L11" s="37">
        <v>0.25</v>
      </c>
      <c r="M11" s="15" t="s">
        <v>151</v>
      </c>
      <c r="N11" s="40">
        <v>75812</v>
      </c>
      <c r="O11" s="40">
        <f>-7180.6+15507</f>
        <v>8326.4</v>
      </c>
      <c r="P11" s="17">
        <v>0</v>
      </c>
      <c r="Q11" s="17">
        <v>234992.42</v>
      </c>
      <c r="R11" s="40">
        <f t="shared" si="0"/>
        <v>319130.82</v>
      </c>
    </row>
    <row r="12" spans="1:19">
      <c r="A12" s="32">
        <v>6</v>
      </c>
      <c r="B12" s="33" t="s">
        <v>19</v>
      </c>
      <c r="C12" s="34">
        <v>39911</v>
      </c>
      <c r="D12" s="27">
        <v>40898</v>
      </c>
      <c r="E12" s="15">
        <v>2009</v>
      </c>
      <c r="F12" s="32">
        <v>20037</v>
      </c>
      <c r="G12" s="35" t="s">
        <v>243</v>
      </c>
      <c r="H12" s="35" t="s">
        <v>79</v>
      </c>
      <c r="I12" s="27">
        <v>25</v>
      </c>
      <c r="J12" s="36">
        <v>1562</v>
      </c>
      <c r="K12" s="36">
        <v>19525</v>
      </c>
      <c r="L12" s="37">
        <v>0.25</v>
      </c>
      <c r="M12" s="15" t="s">
        <v>151</v>
      </c>
      <c r="N12" s="40">
        <v>39050</v>
      </c>
      <c r="O12" s="40">
        <v>4287.6899999999996</v>
      </c>
      <c r="P12" s="17">
        <v>0</v>
      </c>
      <c r="Q12" s="17">
        <v>85175.05</v>
      </c>
      <c r="R12" s="40">
        <f t="shared" si="0"/>
        <v>128512.74</v>
      </c>
    </row>
    <row r="13" spans="1:19">
      <c r="A13" s="32">
        <v>7</v>
      </c>
      <c r="B13" s="33" t="s">
        <v>19</v>
      </c>
      <c r="C13" s="34">
        <v>39911</v>
      </c>
      <c r="D13" s="27">
        <v>40900</v>
      </c>
      <c r="E13" s="15">
        <v>2009</v>
      </c>
      <c r="F13" s="32">
        <v>20038</v>
      </c>
      <c r="G13" s="35" t="s">
        <v>243</v>
      </c>
      <c r="H13" s="35" t="s">
        <v>79</v>
      </c>
      <c r="I13" s="27">
        <v>49</v>
      </c>
      <c r="J13" s="36">
        <v>1562</v>
      </c>
      <c r="K13" s="36">
        <v>38269</v>
      </c>
      <c r="L13" s="37">
        <v>0.25</v>
      </c>
      <c r="M13" s="15" t="s">
        <v>151</v>
      </c>
      <c r="N13" s="40">
        <v>76538</v>
      </c>
      <c r="O13" s="40">
        <f>-500+20017.03</f>
        <v>19517.03</v>
      </c>
      <c r="P13" s="17">
        <v>0</v>
      </c>
      <c r="Q13" s="17">
        <v>58687.68</v>
      </c>
      <c r="R13" s="40">
        <f t="shared" si="0"/>
        <v>154742.71</v>
      </c>
    </row>
    <row r="14" spans="1:19">
      <c r="A14" s="32">
        <v>8</v>
      </c>
      <c r="B14" s="33" t="s">
        <v>19</v>
      </c>
      <c r="C14" s="34">
        <v>39911</v>
      </c>
      <c r="D14" s="27">
        <v>40903</v>
      </c>
      <c r="E14" s="15">
        <v>2009</v>
      </c>
      <c r="F14" s="32">
        <v>20039</v>
      </c>
      <c r="G14" s="35" t="s">
        <v>243</v>
      </c>
      <c r="H14" s="35" t="s">
        <v>31</v>
      </c>
      <c r="I14" s="27">
        <v>127</v>
      </c>
      <c r="J14" s="36">
        <v>1583</v>
      </c>
      <c r="K14" s="36">
        <v>100520.5</v>
      </c>
      <c r="L14" s="37">
        <v>0.25</v>
      </c>
      <c r="M14" s="15" t="s">
        <v>151</v>
      </c>
      <c r="N14" s="40">
        <v>201041</v>
      </c>
      <c r="O14" s="40">
        <v>100520.5</v>
      </c>
      <c r="P14" s="17">
        <v>0</v>
      </c>
      <c r="Q14" s="17">
        <v>3780.63</v>
      </c>
      <c r="R14" s="40">
        <f t="shared" si="0"/>
        <v>305342.13</v>
      </c>
    </row>
    <row r="15" spans="1:19">
      <c r="A15" s="32">
        <v>9</v>
      </c>
      <c r="B15" s="33" t="s">
        <v>19</v>
      </c>
      <c r="C15" s="34">
        <v>39911</v>
      </c>
      <c r="D15" s="27">
        <v>40905</v>
      </c>
      <c r="E15" s="15">
        <v>2009</v>
      </c>
      <c r="F15" s="32">
        <v>20040</v>
      </c>
      <c r="G15" s="35" t="s">
        <v>243</v>
      </c>
      <c r="H15" s="35" t="s">
        <v>98</v>
      </c>
      <c r="I15" s="27">
        <v>161</v>
      </c>
      <c r="J15" s="36">
        <v>1479</v>
      </c>
      <c r="K15" s="36">
        <v>119059.5</v>
      </c>
      <c r="L15" s="37">
        <v>0.25</v>
      </c>
      <c r="M15" s="15" t="s">
        <v>153</v>
      </c>
      <c r="N15" s="40">
        <v>238119</v>
      </c>
      <c r="O15" s="40">
        <f>119059.5+119059.5</f>
        <v>238119</v>
      </c>
      <c r="P15" s="17">
        <v>0</v>
      </c>
      <c r="Q15" s="17">
        <v>0</v>
      </c>
      <c r="R15" s="40">
        <f t="shared" si="0"/>
        <v>476238</v>
      </c>
    </row>
    <row r="16" spans="1:19">
      <c r="A16" s="32">
        <v>10</v>
      </c>
      <c r="B16" s="33" t="s">
        <v>19</v>
      </c>
      <c r="C16" s="34">
        <v>39974</v>
      </c>
      <c r="D16" s="27">
        <v>41008</v>
      </c>
      <c r="E16" s="15">
        <v>2009</v>
      </c>
      <c r="F16" s="32">
        <v>20075</v>
      </c>
      <c r="G16" s="35" t="s">
        <v>243</v>
      </c>
      <c r="H16" s="35" t="s">
        <v>98</v>
      </c>
      <c r="I16" s="27">
        <v>125.65</v>
      </c>
      <c r="J16" s="36">
        <v>1977</v>
      </c>
      <c r="K16" s="36">
        <v>124205.03</v>
      </c>
      <c r="L16" s="37">
        <v>0.25</v>
      </c>
      <c r="M16" s="15" t="s">
        <v>153</v>
      </c>
      <c r="N16" s="40">
        <v>248410.05</v>
      </c>
      <c r="O16" s="40">
        <v>124205.03</v>
      </c>
      <c r="P16" s="40">
        <v>0</v>
      </c>
      <c r="Q16" s="40">
        <v>0</v>
      </c>
      <c r="R16" s="40">
        <f t="shared" si="0"/>
        <v>372615.07999999996</v>
      </c>
    </row>
    <row r="17" spans="1:19">
      <c r="A17" s="32">
        <v>11</v>
      </c>
      <c r="B17" s="44" t="s">
        <v>19</v>
      </c>
      <c r="C17" s="45">
        <v>39974</v>
      </c>
      <c r="D17" s="15">
        <v>41014</v>
      </c>
      <c r="E17" s="15">
        <v>2009</v>
      </c>
      <c r="F17" s="18">
        <v>20078</v>
      </c>
      <c r="G17" s="46" t="s">
        <v>126</v>
      </c>
      <c r="H17" s="46" t="s">
        <v>79</v>
      </c>
      <c r="I17" s="15">
        <v>40</v>
      </c>
      <c r="J17" s="47">
        <v>6727</v>
      </c>
      <c r="K17" s="47">
        <v>134540</v>
      </c>
      <c r="L17" s="48">
        <v>0.26</v>
      </c>
      <c r="M17" s="15" t="s">
        <v>153</v>
      </c>
      <c r="N17" s="17">
        <v>269080</v>
      </c>
      <c r="O17" s="40">
        <f>67270*2</f>
        <v>134540</v>
      </c>
      <c r="P17" s="40">
        <v>0</v>
      </c>
      <c r="Q17" s="40">
        <v>0</v>
      </c>
      <c r="R17" s="40">
        <f t="shared" si="0"/>
        <v>403620</v>
      </c>
      <c r="S17"/>
    </row>
    <row r="18" spans="1:19">
      <c r="A18" s="32">
        <v>12</v>
      </c>
      <c r="B18" s="44" t="s">
        <v>9</v>
      </c>
      <c r="C18" s="45">
        <v>39974</v>
      </c>
      <c r="D18" s="15">
        <v>41015</v>
      </c>
      <c r="E18" s="15">
        <v>2009</v>
      </c>
      <c r="F18" s="18">
        <v>20079</v>
      </c>
      <c r="G18" s="46" t="s">
        <v>126</v>
      </c>
      <c r="H18" s="46" t="s">
        <v>98</v>
      </c>
      <c r="I18" s="15">
        <v>27.5</v>
      </c>
      <c r="J18" s="47">
        <v>2077</v>
      </c>
      <c r="K18" s="47">
        <v>28558.75</v>
      </c>
      <c r="L18" s="48">
        <v>0.25</v>
      </c>
      <c r="M18" s="15" t="s">
        <v>153</v>
      </c>
      <c r="N18" s="17">
        <v>57117.5</v>
      </c>
      <c r="O18" s="40">
        <v>28558.75</v>
      </c>
      <c r="P18" s="40">
        <v>0</v>
      </c>
      <c r="Q18" s="40">
        <v>0</v>
      </c>
      <c r="R18" s="40">
        <f t="shared" si="0"/>
        <v>85676.25</v>
      </c>
      <c r="S18"/>
    </row>
    <row r="19" spans="1:19">
      <c r="A19" s="32">
        <v>13</v>
      </c>
      <c r="B19" s="44" t="s">
        <v>9</v>
      </c>
      <c r="C19" s="45">
        <v>39974</v>
      </c>
      <c r="D19" s="15">
        <v>41016</v>
      </c>
      <c r="E19" s="15">
        <v>2009</v>
      </c>
      <c r="F19" s="18">
        <v>20080</v>
      </c>
      <c r="G19" s="46" t="s">
        <v>126</v>
      </c>
      <c r="H19" s="46" t="s">
        <v>98</v>
      </c>
      <c r="I19" s="15">
        <v>13.5</v>
      </c>
      <c r="J19" s="47">
        <v>2077</v>
      </c>
      <c r="K19" s="47">
        <v>14019.75</v>
      </c>
      <c r="L19" s="48">
        <v>0.25</v>
      </c>
      <c r="M19" s="15" t="s">
        <v>153</v>
      </c>
      <c r="N19" s="17">
        <v>28039.5</v>
      </c>
      <c r="O19" s="40">
        <v>14019.75</v>
      </c>
      <c r="P19" s="40">
        <v>0</v>
      </c>
      <c r="Q19" s="40">
        <v>0</v>
      </c>
      <c r="R19" s="40">
        <f t="shared" si="0"/>
        <v>42059.25</v>
      </c>
      <c r="S19"/>
    </row>
    <row r="20" spans="1:19">
      <c r="A20" s="32">
        <v>14</v>
      </c>
      <c r="B20" s="44" t="s">
        <v>9</v>
      </c>
      <c r="C20" s="45">
        <v>39974</v>
      </c>
      <c r="D20" s="15">
        <v>41017</v>
      </c>
      <c r="E20" s="15">
        <v>2009</v>
      </c>
      <c r="F20" s="18">
        <v>20081</v>
      </c>
      <c r="G20" s="46" t="s">
        <v>126</v>
      </c>
      <c r="H20" s="46" t="s">
        <v>79</v>
      </c>
      <c r="I20" s="15">
        <v>68</v>
      </c>
      <c r="J20" s="47">
        <v>6727</v>
      </c>
      <c r="K20" s="47">
        <v>228718</v>
      </c>
      <c r="L20" s="48">
        <v>0.26</v>
      </c>
      <c r="M20" s="15" t="s">
        <v>151</v>
      </c>
      <c r="N20" s="17">
        <v>457436</v>
      </c>
      <c r="O20" s="40">
        <v>0</v>
      </c>
      <c r="P20" s="40">
        <v>0</v>
      </c>
      <c r="Q20" s="40">
        <v>26205.43</v>
      </c>
      <c r="R20" s="40">
        <f t="shared" si="0"/>
        <v>483641.43</v>
      </c>
      <c r="S20"/>
    </row>
    <row r="21" spans="1:19">
      <c r="A21" s="32">
        <v>15</v>
      </c>
      <c r="B21" s="44" t="s">
        <v>19</v>
      </c>
      <c r="C21" s="45">
        <v>39974</v>
      </c>
      <c r="D21" s="15">
        <v>41018</v>
      </c>
      <c r="E21" s="15">
        <v>2009</v>
      </c>
      <c r="F21" s="18">
        <v>20082</v>
      </c>
      <c r="G21" s="46" t="s">
        <v>138</v>
      </c>
      <c r="H21" s="46" t="s">
        <v>79</v>
      </c>
      <c r="I21" s="15">
        <v>46.512</v>
      </c>
      <c r="J21" s="47">
        <v>5727</v>
      </c>
      <c r="K21" s="47">
        <v>133187.10999999999</v>
      </c>
      <c r="L21" s="48">
        <v>0.25</v>
      </c>
      <c r="M21" s="15" t="s">
        <v>153</v>
      </c>
      <c r="N21" s="17">
        <v>266374.21999999997</v>
      </c>
      <c r="O21" s="40">
        <v>133187.10999999999</v>
      </c>
      <c r="P21" s="40">
        <v>0</v>
      </c>
      <c r="Q21" s="40">
        <v>0</v>
      </c>
      <c r="R21" s="40">
        <f t="shared" si="0"/>
        <v>399561.32999999996</v>
      </c>
      <c r="S21"/>
    </row>
    <row r="22" spans="1:19">
      <c r="A22" s="32">
        <v>16</v>
      </c>
      <c r="B22" s="33" t="s">
        <v>15</v>
      </c>
      <c r="C22" s="34">
        <v>39974</v>
      </c>
      <c r="D22" s="27">
        <v>41020</v>
      </c>
      <c r="E22" s="15">
        <v>2009</v>
      </c>
      <c r="F22" s="32">
        <v>20084</v>
      </c>
      <c r="G22" s="35" t="s">
        <v>243</v>
      </c>
      <c r="H22" s="35" t="s">
        <v>79</v>
      </c>
      <c r="I22" s="27">
        <v>33.340000000000003</v>
      </c>
      <c r="J22" s="36">
        <v>2703</v>
      </c>
      <c r="K22" s="36">
        <v>45059.01</v>
      </c>
      <c r="L22" s="37">
        <v>0.25</v>
      </c>
      <c r="M22" s="15" t="s">
        <v>151</v>
      </c>
      <c r="N22" s="40">
        <v>90118.02</v>
      </c>
      <c r="O22" s="40">
        <v>0</v>
      </c>
      <c r="P22" s="17">
        <v>0</v>
      </c>
      <c r="Q22" s="17">
        <v>143816.17000000001</v>
      </c>
      <c r="R22" s="40">
        <f t="shared" si="0"/>
        <v>233934.19</v>
      </c>
      <c r="S22"/>
    </row>
    <row r="23" spans="1:19">
      <c r="A23" s="32">
        <v>17</v>
      </c>
      <c r="B23" s="39" t="s">
        <v>61</v>
      </c>
      <c r="C23" s="34">
        <v>40002</v>
      </c>
      <c r="D23" s="27">
        <v>41043</v>
      </c>
      <c r="E23" s="15">
        <v>2009</v>
      </c>
      <c r="F23" s="32">
        <v>20091</v>
      </c>
      <c r="G23" s="35" t="s">
        <v>243</v>
      </c>
      <c r="H23" s="35" t="s">
        <v>23</v>
      </c>
      <c r="I23" s="27">
        <v>0.92900000000000005</v>
      </c>
      <c r="J23" s="36">
        <v>5006.1400000000003</v>
      </c>
      <c r="K23" s="36">
        <v>2325.4</v>
      </c>
      <c r="L23" s="37">
        <v>0.27100000000000002</v>
      </c>
      <c r="M23" s="15" t="s">
        <v>151</v>
      </c>
      <c r="N23" s="40">
        <v>4650.7</v>
      </c>
      <c r="O23" s="40">
        <v>2325.4</v>
      </c>
      <c r="P23" s="17">
        <v>0</v>
      </c>
      <c r="Q23" s="17">
        <v>7878.29</v>
      </c>
      <c r="R23" s="40">
        <f t="shared" si="0"/>
        <v>14854.39</v>
      </c>
    </row>
    <row r="24" spans="1:19">
      <c r="A24" s="32">
        <v>18</v>
      </c>
      <c r="B24" s="44" t="s">
        <v>15</v>
      </c>
      <c r="C24" s="45">
        <v>40002</v>
      </c>
      <c r="D24" s="15">
        <v>41064</v>
      </c>
      <c r="E24" s="15">
        <v>2009</v>
      </c>
      <c r="F24" s="18">
        <v>20104</v>
      </c>
      <c r="G24" s="46" t="s">
        <v>120</v>
      </c>
      <c r="H24" s="46" t="s">
        <v>13</v>
      </c>
      <c r="I24" s="15">
        <v>146.83000000000001</v>
      </c>
      <c r="J24" s="47">
        <v>6978</v>
      </c>
      <c r="K24" s="47">
        <v>512289.87</v>
      </c>
      <c r="L24" s="48">
        <v>0.25</v>
      </c>
      <c r="M24" s="15" t="s">
        <v>151</v>
      </c>
      <c r="N24" s="17">
        <v>1024579.74</v>
      </c>
      <c r="O24" s="40"/>
      <c r="P24" s="40">
        <v>0</v>
      </c>
      <c r="Q24" s="40">
        <f>2999.55+10267.03</f>
        <v>13266.580000000002</v>
      </c>
      <c r="R24" s="40">
        <f t="shared" si="0"/>
        <v>1037846.32</v>
      </c>
      <c r="S24"/>
    </row>
    <row r="25" spans="1:19">
      <c r="A25" s="32">
        <v>19</v>
      </c>
      <c r="B25" s="44" t="s">
        <v>15</v>
      </c>
      <c r="C25" s="45">
        <v>40002</v>
      </c>
      <c r="D25" s="15">
        <v>41065</v>
      </c>
      <c r="E25" s="15">
        <v>2009</v>
      </c>
      <c r="F25" s="18">
        <v>20105</v>
      </c>
      <c r="G25" s="46" t="s">
        <v>122</v>
      </c>
      <c r="H25" s="46" t="s">
        <v>14</v>
      </c>
      <c r="I25" s="15">
        <v>147.76</v>
      </c>
      <c r="J25" s="47">
        <v>3100</v>
      </c>
      <c r="K25" s="47">
        <v>0</v>
      </c>
      <c r="L25" s="48">
        <v>0.25</v>
      </c>
      <c r="M25" s="15" t="s">
        <v>150</v>
      </c>
      <c r="N25" s="17">
        <v>458056</v>
      </c>
      <c r="O25" s="40">
        <v>0</v>
      </c>
      <c r="P25" s="40">
        <v>0</v>
      </c>
      <c r="Q25" s="40">
        <v>0</v>
      </c>
      <c r="R25" s="40">
        <f t="shared" si="0"/>
        <v>458056</v>
      </c>
      <c r="S25"/>
    </row>
    <row r="26" spans="1:19">
      <c r="A26" s="32">
        <v>20</v>
      </c>
      <c r="B26" s="33" t="s">
        <v>15</v>
      </c>
      <c r="C26" s="34">
        <v>40002</v>
      </c>
      <c r="D26" s="27">
        <v>41070</v>
      </c>
      <c r="E26" s="15">
        <v>2009</v>
      </c>
      <c r="F26" s="32">
        <v>20109</v>
      </c>
      <c r="G26" s="35" t="s">
        <v>243</v>
      </c>
      <c r="H26" s="35" t="s">
        <v>99</v>
      </c>
      <c r="I26" s="27">
        <v>6</v>
      </c>
      <c r="J26" s="36">
        <v>6794</v>
      </c>
      <c r="K26" s="36">
        <v>20382</v>
      </c>
      <c r="L26" s="37">
        <v>0.26</v>
      </c>
      <c r="M26" s="15" t="s">
        <v>151</v>
      </c>
      <c r="N26" s="40">
        <v>40764</v>
      </c>
      <c r="O26" s="40">
        <v>0</v>
      </c>
      <c r="P26" s="40">
        <v>0</v>
      </c>
      <c r="Q26" s="40">
        <v>29645.24</v>
      </c>
      <c r="R26" s="40">
        <f t="shared" si="0"/>
        <v>70409.240000000005</v>
      </c>
      <c r="S26"/>
    </row>
    <row r="27" spans="1:19">
      <c r="A27" s="32">
        <v>21</v>
      </c>
      <c r="B27" s="33" t="s">
        <v>19</v>
      </c>
      <c r="C27" s="34">
        <v>40037</v>
      </c>
      <c r="D27" s="27">
        <v>41078</v>
      </c>
      <c r="E27" s="15">
        <v>2009</v>
      </c>
      <c r="F27" s="32">
        <v>20114</v>
      </c>
      <c r="G27" s="35" t="s">
        <v>243</v>
      </c>
      <c r="H27" s="35" t="s">
        <v>13</v>
      </c>
      <c r="I27" s="27">
        <v>359</v>
      </c>
      <c r="J27" s="36">
        <v>3377</v>
      </c>
      <c r="K27" s="36">
        <v>606171.5</v>
      </c>
      <c r="L27" s="37">
        <v>0.25</v>
      </c>
      <c r="M27" s="15" t="s">
        <v>152</v>
      </c>
      <c r="N27" s="40">
        <v>1212343</v>
      </c>
      <c r="O27" s="40">
        <v>288733.5</v>
      </c>
      <c r="P27" s="40">
        <v>0</v>
      </c>
      <c r="Q27" s="40">
        <v>0</v>
      </c>
      <c r="R27" s="40">
        <f t="shared" si="0"/>
        <v>1501076.5</v>
      </c>
      <c r="S27" s="11" t="s">
        <v>238</v>
      </c>
    </row>
    <row r="28" spans="1:19">
      <c r="A28" s="32">
        <v>22</v>
      </c>
      <c r="B28" s="44" t="s">
        <v>15</v>
      </c>
      <c r="C28" s="45">
        <v>40037</v>
      </c>
      <c r="D28" s="15">
        <v>41089</v>
      </c>
      <c r="E28" s="15">
        <v>2009</v>
      </c>
      <c r="F28" s="18">
        <v>20119</v>
      </c>
      <c r="G28" s="46" t="s">
        <v>120</v>
      </c>
      <c r="H28" s="46" t="s">
        <v>26</v>
      </c>
      <c r="I28" s="15">
        <v>20.12</v>
      </c>
      <c r="J28" s="47">
        <v>6017</v>
      </c>
      <c r="K28" s="47">
        <v>60531.02</v>
      </c>
      <c r="L28" s="48">
        <v>0.25</v>
      </c>
      <c r="M28" s="15" t="s">
        <v>153</v>
      </c>
      <c r="N28" s="17">
        <v>121062.04</v>
      </c>
      <c r="O28" s="40">
        <v>60531.02</v>
      </c>
      <c r="P28" s="40">
        <v>0</v>
      </c>
      <c r="Q28" s="40">
        <v>0</v>
      </c>
      <c r="R28" s="40">
        <f t="shared" si="0"/>
        <v>181593.06</v>
      </c>
      <c r="S28"/>
    </row>
    <row r="29" spans="1:19">
      <c r="A29" s="32">
        <v>23</v>
      </c>
      <c r="B29" s="44" t="s">
        <v>15</v>
      </c>
      <c r="C29" s="45">
        <v>40037</v>
      </c>
      <c r="D29" s="15">
        <v>41090</v>
      </c>
      <c r="E29" s="15">
        <v>2009</v>
      </c>
      <c r="F29" s="18">
        <v>20120</v>
      </c>
      <c r="G29" s="46" t="s">
        <v>120</v>
      </c>
      <c r="H29" s="46" t="s">
        <v>79</v>
      </c>
      <c r="I29" s="15">
        <v>47.334000000000003</v>
      </c>
      <c r="J29" s="47">
        <v>6017.03</v>
      </c>
      <c r="K29" s="47">
        <v>142404.94</v>
      </c>
      <c r="L29" s="48">
        <v>0.25</v>
      </c>
      <c r="M29" s="15" t="s">
        <v>151</v>
      </c>
      <c r="N29" s="17">
        <v>284809.88</v>
      </c>
      <c r="O29" s="40"/>
      <c r="P29" s="40">
        <v>0</v>
      </c>
      <c r="Q29" s="40">
        <f>24286.28+42645.44+18473.81</f>
        <v>85405.53</v>
      </c>
      <c r="R29" s="40">
        <f t="shared" si="0"/>
        <v>370215.41000000003</v>
      </c>
      <c r="S29"/>
    </row>
    <row r="30" spans="1:19">
      <c r="A30" s="32">
        <v>24</v>
      </c>
      <c r="B30" s="44" t="s">
        <v>15</v>
      </c>
      <c r="C30" s="45">
        <v>40037</v>
      </c>
      <c r="D30" s="15">
        <v>41091</v>
      </c>
      <c r="E30" s="15">
        <v>2009</v>
      </c>
      <c r="F30" s="18">
        <v>20121</v>
      </c>
      <c r="G30" s="46" t="s">
        <v>120</v>
      </c>
      <c r="H30" s="46" t="s">
        <v>100</v>
      </c>
      <c r="I30" s="15">
        <v>153.58000000000001</v>
      </c>
      <c r="J30" s="47">
        <v>6203</v>
      </c>
      <c r="K30" s="47">
        <v>476328.37</v>
      </c>
      <c r="L30" s="48">
        <v>0.25</v>
      </c>
      <c r="M30" s="15" t="s">
        <v>151</v>
      </c>
      <c r="N30" s="17">
        <v>952656.74</v>
      </c>
      <c r="O30" s="40"/>
      <c r="P30" s="40">
        <v>0</v>
      </c>
      <c r="Q30" s="40">
        <f>30267.13+55780.58+35233.99+23657.35+1627.12</f>
        <v>146566.17000000001</v>
      </c>
      <c r="R30" s="40">
        <f t="shared" si="0"/>
        <v>1099222.9099999999</v>
      </c>
      <c r="S30"/>
    </row>
    <row r="31" spans="1:19">
      <c r="A31" s="32">
        <v>25</v>
      </c>
      <c r="B31" s="44" t="s">
        <v>15</v>
      </c>
      <c r="C31" s="45">
        <v>40037</v>
      </c>
      <c r="D31" s="15">
        <v>41092</v>
      </c>
      <c r="E31" s="15">
        <v>2009</v>
      </c>
      <c r="F31" s="18">
        <v>20122</v>
      </c>
      <c r="G31" s="46" t="s">
        <v>120</v>
      </c>
      <c r="H31" s="46" t="s">
        <v>26</v>
      </c>
      <c r="I31" s="15">
        <v>142.34</v>
      </c>
      <c r="J31" s="47">
        <v>6503</v>
      </c>
      <c r="K31" s="47">
        <v>462818.51</v>
      </c>
      <c r="L31" s="48">
        <v>0.25</v>
      </c>
      <c r="M31" s="15" t="s">
        <v>151</v>
      </c>
      <c r="N31" s="17">
        <v>925637.02</v>
      </c>
      <c r="O31" s="40"/>
      <c r="P31" s="40">
        <v>0</v>
      </c>
      <c r="Q31" s="40">
        <f>46402.13+23696.89</f>
        <v>70099.01999999999</v>
      </c>
      <c r="R31" s="40">
        <f t="shared" si="0"/>
        <v>995736.04</v>
      </c>
      <c r="S31"/>
    </row>
    <row r="32" spans="1:19">
      <c r="A32" s="32">
        <v>26</v>
      </c>
      <c r="B32" s="44" t="s">
        <v>15</v>
      </c>
      <c r="C32" s="45">
        <v>40037</v>
      </c>
      <c r="D32" s="15">
        <v>41093</v>
      </c>
      <c r="E32" s="15">
        <v>2009</v>
      </c>
      <c r="F32" s="18">
        <v>20123</v>
      </c>
      <c r="G32" s="46" t="s">
        <v>120</v>
      </c>
      <c r="H32" s="46" t="s">
        <v>79</v>
      </c>
      <c r="I32" s="15">
        <v>86.462000000000003</v>
      </c>
      <c r="J32" s="47">
        <v>6017</v>
      </c>
      <c r="K32" s="47">
        <v>260120.93</v>
      </c>
      <c r="L32" s="48">
        <v>0.25</v>
      </c>
      <c r="M32" s="15" t="s">
        <v>151</v>
      </c>
      <c r="N32" s="17">
        <v>520241.86</v>
      </c>
      <c r="O32" s="40"/>
      <c r="P32" s="40">
        <v>0</v>
      </c>
      <c r="Q32" s="40">
        <v>43926.36</v>
      </c>
      <c r="R32" s="40">
        <f t="shared" ref="R32:R85" si="1">SUM(N32:Q32)</f>
        <v>564168.22</v>
      </c>
      <c r="S32"/>
    </row>
    <row r="33" spans="1:19">
      <c r="A33" s="32">
        <v>27</v>
      </c>
      <c r="B33" s="44" t="s">
        <v>15</v>
      </c>
      <c r="C33" s="45">
        <v>40037</v>
      </c>
      <c r="D33" s="15">
        <v>41094</v>
      </c>
      <c r="E33" s="15">
        <v>2009</v>
      </c>
      <c r="F33" s="18">
        <v>20124</v>
      </c>
      <c r="G33" s="46" t="s">
        <v>120</v>
      </c>
      <c r="H33" s="46" t="s">
        <v>100</v>
      </c>
      <c r="I33" s="15">
        <v>16.649999999999999</v>
      </c>
      <c r="J33" s="47">
        <v>6017</v>
      </c>
      <c r="K33" s="47">
        <v>50091.53</v>
      </c>
      <c r="L33" s="48">
        <v>0.25</v>
      </c>
      <c r="M33" s="15" t="s">
        <v>151</v>
      </c>
      <c r="N33" s="17">
        <v>100183.05</v>
      </c>
      <c r="O33" s="40"/>
      <c r="P33" s="40">
        <v>0</v>
      </c>
      <c r="Q33" s="40">
        <v>36240.06</v>
      </c>
      <c r="R33" s="40">
        <f t="shared" si="1"/>
        <v>136423.10999999999</v>
      </c>
      <c r="S33"/>
    </row>
    <row r="34" spans="1:19">
      <c r="A34" s="32">
        <v>28</v>
      </c>
      <c r="B34" s="44" t="s">
        <v>15</v>
      </c>
      <c r="C34" s="45">
        <v>40037</v>
      </c>
      <c r="D34" s="15">
        <v>41095</v>
      </c>
      <c r="E34" s="15">
        <v>2009</v>
      </c>
      <c r="F34" s="18">
        <v>20125</v>
      </c>
      <c r="G34" s="46" t="s">
        <v>120</v>
      </c>
      <c r="H34" s="46" t="s">
        <v>26</v>
      </c>
      <c r="I34" s="15">
        <v>0.41</v>
      </c>
      <c r="J34" s="47">
        <v>6017</v>
      </c>
      <c r="K34" s="47">
        <v>1233.49</v>
      </c>
      <c r="L34" s="48">
        <v>0.25</v>
      </c>
      <c r="M34" s="15" t="s">
        <v>153</v>
      </c>
      <c r="N34" s="17">
        <v>2466.9699999999998</v>
      </c>
      <c r="O34" s="54">
        <f>K34</f>
        <v>1233.49</v>
      </c>
      <c r="P34" s="40">
        <v>0</v>
      </c>
      <c r="Q34" s="40">
        <v>0</v>
      </c>
      <c r="R34" s="40">
        <f t="shared" si="1"/>
        <v>3700.46</v>
      </c>
      <c r="S34"/>
    </row>
    <row r="35" spans="1:19">
      <c r="A35" s="32">
        <v>29</v>
      </c>
      <c r="B35" s="44" t="s">
        <v>15</v>
      </c>
      <c r="C35" s="45">
        <v>40037</v>
      </c>
      <c r="D35" s="15">
        <v>41096</v>
      </c>
      <c r="E35" s="15">
        <v>2009</v>
      </c>
      <c r="F35" s="18">
        <v>20126</v>
      </c>
      <c r="G35" s="46" t="s">
        <v>120</v>
      </c>
      <c r="H35" s="46" t="s">
        <v>100</v>
      </c>
      <c r="I35" s="15">
        <v>9.6519999999999992</v>
      </c>
      <c r="J35" s="47">
        <v>6017</v>
      </c>
      <c r="K35" s="47">
        <v>29038.04</v>
      </c>
      <c r="L35" s="48">
        <v>0.25</v>
      </c>
      <c r="M35" s="15" t="s">
        <v>151</v>
      </c>
      <c r="N35" s="17">
        <v>58076.08</v>
      </c>
      <c r="O35" s="40"/>
      <c r="P35" s="40">
        <v>0</v>
      </c>
      <c r="Q35" s="40">
        <v>21579.5</v>
      </c>
      <c r="R35" s="40">
        <f t="shared" si="1"/>
        <v>79655.58</v>
      </c>
      <c r="S35"/>
    </row>
    <row r="36" spans="1:19">
      <c r="A36" s="32">
        <v>30</v>
      </c>
      <c r="B36" s="44" t="s">
        <v>15</v>
      </c>
      <c r="C36" s="45">
        <v>40037</v>
      </c>
      <c r="D36" s="15">
        <v>41097</v>
      </c>
      <c r="E36" s="15">
        <v>2009</v>
      </c>
      <c r="F36" s="18">
        <v>20127</v>
      </c>
      <c r="G36" s="46" t="s">
        <v>120</v>
      </c>
      <c r="H36" s="46" t="s">
        <v>79</v>
      </c>
      <c r="I36" s="15">
        <v>3.19</v>
      </c>
      <c r="J36" s="47">
        <v>8093</v>
      </c>
      <c r="K36" s="47">
        <v>12908.34</v>
      </c>
      <c r="L36" s="48">
        <v>0.25</v>
      </c>
      <c r="M36" s="15" t="s">
        <v>153</v>
      </c>
      <c r="N36" s="17">
        <v>25816.67</v>
      </c>
      <c r="O36" s="54">
        <f>K36</f>
        <v>12908.34</v>
      </c>
      <c r="P36" s="40">
        <v>0</v>
      </c>
      <c r="Q36" s="40">
        <v>0</v>
      </c>
      <c r="R36" s="40">
        <f t="shared" si="1"/>
        <v>38725.009999999995</v>
      </c>
      <c r="S36"/>
    </row>
    <row r="37" spans="1:19">
      <c r="A37" s="32">
        <v>31</v>
      </c>
      <c r="B37" s="44" t="s">
        <v>15</v>
      </c>
      <c r="C37" s="45">
        <v>40037</v>
      </c>
      <c r="D37" s="15">
        <v>41098</v>
      </c>
      <c r="E37" s="15">
        <v>2009</v>
      </c>
      <c r="F37" s="18">
        <v>20128</v>
      </c>
      <c r="G37" s="46" t="s">
        <v>120</v>
      </c>
      <c r="H37" s="46" t="s">
        <v>26</v>
      </c>
      <c r="I37" s="15">
        <v>62.39</v>
      </c>
      <c r="J37" s="47">
        <v>6017</v>
      </c>
      <c r="K37" s="47">
        <v>187700.32</v>
      </c>
      <c r="L37" s="48">
        <v>0.25</v>
      </c>
      <c r="M37" s="15" t="s">
        <v>151</v>
      </c>
      <c r="N37" s="17">
        <v>375400.63</v>
      </c>
      <c r="O37" s="40"/>
      <c r="P37" s="40">
        <v>0</v>
      </c>
      <c r="Q37" s="40">
        <f>23471.16+28263+3+13712.78+18873.88</f>
        <v>84323.82</v>
      </c>
      <c r="R37" s="40">
        <f t="shared" si="1"/>
        <v>459724.45</v>
      </c>
      <c r="S37"/>
    </row>
    <row r="38" spans="1:19">
      <c r="A38" s="32">
        <v>32</v>
      </c>
      <c r="B38" s="44" t="s">
        <v>15</v>
      </c>
      <c r="C38" s="45">
        <v>40037</v>
      </c>
      <c r="D38" s="15">
        <v>41099</v>
      </c>
      <c r="E38" s="15">
        <v>2009</v>
      </c>
      <c r="F38" s="18">
        <v>20129</v>
      </c>
      <c r="G38" s="46" t="s">
        <v>120</v>
      </c>
      <c r="H38" s="46" t="s">
        <v>79</v>
      </c>
      <c r="I38" s="15">
        <v>40.1</v>
      </c>
      <c r="J38" s="47">
        <v>6017</v>
      </c>
      <c r="K38" s="47">
        <v>120640.85</v>
      </c>
      <c r="L38" s="48">
        <v>0.25</v>
      </c>
      <c r="M38" s="15" t="s">
        <v>151</v>
      </c>
      <c r="N38" s="17">
        <v>241281.7</v>
      </c>
      <c r="O38" s="40"/>
      <c r="P38" s="40">
        <v>0</v>
      </c>
      <c r="Q38" s="40">
        <f>1049.83+34855.78</f>
        <v>35905.61</v>
      </c>
      <c r="R38" s="40">
        <f t="shared" si="1"/>
        <v>277187.31</v>
      </c>
      <c r="S38"/>
    </row>
    <row r="39" spans="1:19">
      <c r="A39" s="32">
        <v>33</v>
      </c>
      <c r="B39" s="44" t="s">
        <v>15</v>
      </c>
      <c r="C39" s="45">
        <v>40037</v>
      </c>
      <c r="D39" s="15">
        <v>41100</v>
      </c>
      <c r="E39" s="15">
        <v>2009</v>
      </c>
      <c r="F39" s="18">
        <v>20130</v>
      </c>
      <c r="G39" s="46" t="s">
        <v>120</v>
      </c>
      <c r="H39" s="46" t="s">
        <v>100</v>
      </c>
      <c r="I39" s="15">
        <v>28.28</v>
      </c>
      <c r="J39" s="47">
        <v>6017</v>
      </c>
      <c r="K39" s="47">
        <v>85080.38</v>
      </c>
      <c r="L39" s="48">
        <v>0.25</v>
      </c>
      <c r="M39" s="15" t="s">
        <v>151</v>
      </c>
      <c r="N39" s="17">
        <v>170160.76</v>
      </c>
      <c r="O39" s="40"/>
      <c r="P39" s="40">
        <v>0</v>
      </c>
      <c r="Q39" s="40">
        <v>65612.100000000006</v>
      </c>
      <c r="R39" s="40">
        <f t="shared" si="1"/>
        <v>235772.86000000002</v>
      </c>
      <c r="S39"/>
    </row>
    <row r="40" spans="1:19">
      <c r="A40" s="32">
        <v>34</v>
      </c>
      <c r="B40" s="44" t="s">
        <v>15</v>
      </c>
      <c r="C40" s="45">
        <v>40037</v>
      </c>
      <c r="D40" s="15">
        <v>41101</v>
      </c>
      <c r="E40" s="15">
        <v>2009</v>
      </c>
      <c r="F40" s="18">
        <v>20131</v>
      </c>
      <c r="G40" s="46" t="s">
        <v>120</v>
      </c>
      <c r="H40" s="46" t="s">
        <v>79</v>
      </c>
      <c r="I40" s="15">
        <v>53.81</v>
      </c>
      <c r="J40" s="47">
        <v>6503</v>
      </c>
      <c r="K40" s="47">
        <v>174963.22</v>
      </c>
      <c r="L40" s="48">
        <v>0.25</v>
      </c>
      <c r="M40" s="15" t="s">
        <v>151</v>
      </c>
      <c r="N40" s="17">
        <v>349926.43</v>
      </c>
      <c r="O40" s="40"/>
      <c r="P40" s="40">
        <v>0</v>
      </c>
      <c r="Q40" s="40">
        <f>82964.83+860099.95+15595.72+151392.02+317920.14+41596.86</f>
        <v>1469569.5199999998</v>
      </c>
      <c r="R40" s="40">
        <f t="shared" si="1"/>
        <v>1819495.9499999997</v>
      </c>
      <c r="S40"/>
    </row>
    <row r="41" spans="1:19">
      <c r="A41" s="32">
        <v>35</v>
      </c>
      <c r="B41" s="44" t="s">
        <v>15</v>
      </c>
      <c r="C41" s="45">
        <v>40037</v>
      </c>
      <c r="D41" s="15">
        <v>41102</v>
      </c>
      <c r="E41" s="15">
        <v>2009</v>
      </c>
      <c r="F41" s="18">
        <v>20132</v>
      </c>
      <c r="G41" s="46" t="s">
        <v>120</v>
      </c>
      <c r="H41" s="46" t="s">
        <v>26</v>
      </c>
      <c r="I41" s="15">
        <v>49.649000000000001</v>
      </c>
      <c r="J41" s="47">
        <v>6503</v>
      </c>
      <c r="K41" s="47">
        <v>161433.73000000001</v>
      </c>
      <c r="L41" s="48">
        <v>0.25</v>
      </c>
      <c r="M41" s="15" t="s">
        <v>151</v>
      </c>
      <c r="N41" s="17">
        <v>322867.45</v>
      </c>
      <c r="O41" s="40"/>
      <c r="P41" s="40">
        <v>0</v>
      </c>
      <c r="Q41" s="40">
        <f>4425.72+3718.3</f>
        <v>8144.02</v>
      </c>
      <c r="R41" s="40">
        <f t="shared" si="1"/>
        <v>331011.47000000003</v>
      </c>
      <c r="S41"/>
    </row>
    <row r="42" spans="1:19">
      <c r="A42" s="32">
        <v>36</v>
      </c>
      <c r="B42" s="44" t="s">
        <v>15</v>
      </c>
      <c r="C42" s="45">
        <v>40037</v>
      </c>
      <c r="D42" s="15">
        <v>41103</v>
      </c>
      <c r="E42" s="15">
        <v>2009</v>
      </c>
      <c r="F42" s="18">
        <v>20133</v>
      </c>
      <c r="G42" s="46" t="s">
        <v>120</v>
      </c>
      <c r="H42" s="46" t="s">
        <v>100</v>
      </c>
      <c r="I42" s="15">
        <v>55.75</v>
      </c>
      <c r="J42" s="47">
        <v>8167</v>
      </c>
      <c r="K42" s="47">
        <v>227655.13</v>
      </c>
      <c r="L42" s="48">
        <v>0.25</v>
      </c>
      <c r="M42" s="15" t="s">
        <v>151</v>
      </c>
      <c r="N42" s="17">
        <v>455310.25</v>
      </c>
      <c r="O42" s="40"/>
      <c r="P42" s="40">
        <v>0</v>
      </c>
      <c r="Q42" s="40">
        <f>48846.47+8793.26+13110.92</f>
        <v>70750.650000000009</v>
      </c>
      <c r="R42" s="40">
        <f t="shared" si="1"/>
        <v>526060.9</v>
      </c>
      <c r="S42"/>
    </row>
    <row r="43" spans="1:19">
      <c r="A43" s="32">
        <v>37</v>
      </c>
      <c r="B43" s="44" t="s">
        <v>15</v>
      </c>
      <c r="C43" s="45">
        <v>40037</v>
      </c>
      <c r="D43" s="15">
        <v>41104</v>
      </c>
      <c r="E43" s="15">
        <v>2009</v>
      </c>
      <c r="F43" s="18">
        <v>20134</v>
      </c>
      <c r="G43" s="46" t="s">
        <v>120</v>
      </c>
      <c r="H43" s="46" t="s">
        <v>79</v>
      </c>
      <c r="I43" s="15">
        <v>54.12</v>
      </c>
      <c r="J43" s="47">
        <v>6503</v>
      </c>
      <c r="K43" s="47">
        <v>175971.18</v>
      </c>
      <c r="L43" s="48">
        <v>0.25</v>
      </c>
      <c r="M43" s="15" t="s">
        <v>153</v>
      </c>
      <c r="N43" s="17">
        <v>351942.36</v>
      </c>
      <c r="O43" s="40">
        <v>175971.18</v>
      </c>
      <c r="P43" s="40">
        <v>0</v>
      </c>
      <c r="Q43" s="40">
        <v>-5235.08</v>
      </c>
      <c r="R43" s="40">
        <f t="shared" si="1"/>
        <v>522678.46</v>
      </c>
    </row>
    <row r="44" spans="1:19">
      <c r="A44" s="32">
        <v>38</v>
      </c>
      <c r="B44" s="44" t="s">
        <v>9</v>
      </c>
      <c r="C44" s="45">
        <v>40037</v>
      </c>
      <c r="D44" s="15">
        <v>41105</v>
      </c>
      <c r="E44" s="15">
        <v>2009</v>
      </c>
      <c r="F44" s="18">
        <v>20135</v>
      </c>
      <c r="G44" s="46" t="s">
        <v>132</v>
      </c>
      <c r="H44" s="46" t="s">
        <v>23</v>
      </c>
      <c r="I44" s="15">
        <v>3.6560000000000001</v>
      </c>
      <c r="J44" s="47">
        <v>8506.14</v>
      </c>
      <c r="K44" s="47">
        <v>15549.23</v>
      </c>
      <c r="L44" s="48">
        <v>0.25</v>
      </c>
      <c r="M44" s="15" t="s">
        <v>153</v>
      </c>
      <c r="N44" s="17">
        <v>31098.45</v>
      </c>
      <c r="O44" s="40">
        <v>0</v>
      </c>
      <c r="P44" s="40">
        <v>0</v>
      </c>
      <c r="Q44" s="40">
        <v>0</v>
      </c>
      <c r="R44" s="40">
        <f t="shared" si="1"/>
        <v>31098.45</v>
      </c>
    </row>
    <row r="45" spans="1:19">
      <c r="A45" s="32">
        <v>39</v>
      </c>
      <c r="B45" s="33" t="s">
        <v>9</v>
      </c>
      <c r="C45" s="34">
        <v>40037</v>
      </c>
      <c r="D45" s="27">
        <v>41113</v>
      </c>
      <c r="E45" s="15">
        <v>2009</v>
      </c>
      <c r="F45" s="32">
        <v>20140</v>
      </c>
      <c r="G45" s="35" t="s">
        <v>243</v>
      </c>
      <c r="H45" s="35" t="s">
        <v>23</v>
      </c>
      <c r="I45" s="27">
        <v>26.67</v>
      </c>
      <c r="J45" s="36">
        <v>8506.14</v>
      </c>
      <c r="K45" s="36">
        <v>113429.38</v>
      </c>
      <c r="L45" s="37">
        <v>0.25</v>
      </c>
      <c r="M45" s="15" t="s">
        <v>151</v>
      </c>
      <c r="N45" s="40">
        <v>226858.75</v>
      </c>
      <c r="O45" s="40">
        <v>0</v>
      </c>
      <c r="P45" s="40">
        <v>0</v>
      </c>
      <c r="Q45" s="40">
        <v>58330.79</v>
      </c>
      <c r="R45" s="40">
        <f t="shared" si="1"/>
        <v>285189.53999999998</v>
      </c>
      <c r="S45"/>
    </row>
    <row r="46" spans="1:19">
      <c r="A46" s="32">
        <v>40</v>
      </c>
      <c r="B46" s="33" t="s">
        <v>9</v>
      </c>
      <c r="C46" s="34">
        <v>40037</v>
      </c>
      <c r="D46" s="27">
        <v>41114</v>
      </c>
      <c r="E46" s="15">
        <v>2009</v>
      </c>
      <c r="F46" s="32">
        <v>20141</v>
      </c>
      <c r="G46" s="35" t="s">
        <v>243</v>
      </c>
      <c r="H46" s="35" t="s">
        <v>23</v>
      </c>
      <c r="I46" s="27">
        <v>15.65</v>
      </c>
      <c r="J46" s="36">
        <v>8506.14</v>
      </c>
      <c r="K46" s="36">
        <v>66560.55</v>
      </c>
      <c r="L46" s="37">
        <v>0.25</v>
      </c>
      <c r="M46" s="15" t="s">
        <v>153</v>
      </c>
      <c r="N46" s="40">
        <v>133121.09</v>
      </c>
      <c r="O46" s="40">
        <v>66560.55</v>
      </c>
      <c r="P46" s="40">
        <v>0</v>
      </c>
      <c r="Q46" s="40">
        <v>0</v>
      </c>
      <c r="R46" s="40">
        <f t="shared" si="1"/>
        <v>199681.64</v>
      </c>
      <c r="S46"/>
    </row>
    <row r="47" spans="1:19">
      <c r="A47" s="32">
        <v>41</v>
      </c>
      <c r="B47" s="33" t="s">
        <v>15</v>
      </c>
      <c r="C47" s="34">
        <v>40100</v>
      </c>
      <c r="D47" s="27">
        <v>41120</v>
      </c>
      <c r="E47" s="15">
        <v>2009</v>
      </c>
      <c r="F47" s="32">
        <v>20145</v>
      </c>
      <c r="G47" s="35" t="s">
        <v>243</v>
      </c>
      <c r="H47" s="35" t="s">
        <v>14</v>
      </c>
      <c r="I47" s="27">
        <v>80</v>
      </c>
      <c r="J47" s="36">
        <v>8700</v>
      </c>
      <c r="K47" s="36">
        <v>348000</v>
      </c>
      <c r="L47" s="37">
        <v>0.25</v>
      </c>
      <c r="M47" s="15" t="s">
        <v>150</v>
      </c>
      <c r="N47" s="40">
        <v>696000</v>
      </c>
      <c r="O47" s="40">
        <v>0</v>
      </c>
      <c r="P47" s="40">
        <v>0</v>
      </c>
      <c r="Q47" s="40">
        <v>0</v>
      </c>
      <c r="R47" s="40">
        <f t="shared" si="1"/>
        <v>696000</v>
      </c>
    </row>
    <row r="48" spans="1:19">
      <c r="A48" s="32">
        <v>42</v>
      </c>
      <c r="B48" s="39" t="s">
        <v>11</v>
      </c>
      <c r="C48" s="34">
        <v>40100</v>
      </c>
      <c r="D48" s="27">
        <v>41121</v>
      </c>
      <c r="E48" s="15">
        <v>2009</v>
      </c>
      <c r="F48" s="32">
        <v>20146</v>
      </c>
      <c r="G48" s="35" t="s">
        <v>243</v>
      </c>
      <c r="H48" s="35" t="s">
        <v>79</v>
      </c>
      <c r="I48" s="27">
        <v>5</v>
      </c>
      <c r="J48" s="36">
        <v>9157</v>
      </c>
      <c r="K48" s="36">
        <v>22892.5</v>
      </c>
      <c r="L48" s="37">
        <v>0.25</v>
      </c>
      <c r="M48" s="15" t="s">
        <v>153</v>
      </c>
      <c r="N48" s="40">
        <v>45785</v>
      </c>
      <c r="O48" s="40">
        <v>22982.5</v>
      </c>
      <c r="P48" s="40">
        <v>0</v>
      </c>
      <c r="Q48" s="40">
        <v>0</v>
      </c>
      <c r="R48" s="40">
        <f t="shared" si="1"/>
        <v>68767.5</v>
      </c>
    </row>
    <row r="49" spans="1:19">
      <c r="A49" s="32">
        <v>43</v>
      </c>
      <c r="B49" s="33" t="s">
        <v>29</v>
      </c>
      <c r="C49" s="34">
        <v>40100</v>
      </c>
      <c r="D49" s="27">
        <v>41122</v>
      </c>
      <c r="E49" s="15">
        <v>2009</v>
      </c>
      <c r="F49" s="32">
        <v>20147</v>
      </c>
      <c r="G49" s="35" t="s">
        <v>243</v>
      </c>
      <c r="H49" s="35" t="s">
        <v>23</v>
      </c>
      <c r="I49" s="27">
        <v>33</v>
      </c>
      <c r="J49" s="36">
        <v>12214</v>
      </c>
      <c r="K49" s="36">
        <v>201531</v>
      </c>
      <c r="L49" s="37">
        <v>0.25</v>
      </c>
      <c r="M49" s="15" t="s">
        <v>151</v>
      </c>
      <c r="N49" s="40">
        <v>403062</v>
      </c>
      <c r="O49" s="40">
        <v>0</v>
      </c>
      <c r="P49" s="40">
        <v>0</v>
      </c>
      <c r="Q49" s="40">
        <v>42873.54</v>
      </c>
      <c r="R49" s="40">
        <f t="shared" si="1"/>
        <v>445935.54</v>
      </c>
    </row>
    <row r="50" spans="1:19">
      <c r="A50" s="32">
        <v>44</v>
      </c>
      <c r="B50" s="33" t="s">
        <v>15</v>
      </c>
      <c r="C50" s="34">
        <v>40100</v>
      </c>
      <c r="D50" s="27">
        <v>41123</v>
      </c>
      <c r="E50" s="15">
        <v>2009</v>
      </c>
      <c r="F50" s="32">
        <v>20148</v>
      </c>
      <c r="G50" s="35" t="s">
        <v>243</v>
      </c>
      <c r="H50" s="35" t="s">
        <v>79</v>
      </c>
      <c r="I50" s="27">
        <v>1</v>
      </c>
      <c r="J50" s="36">
        <v>4412</v>
      </c>
      <c r="K50" s="36">
        <v>2206</v>
      </c>
      <c r="L50" s="37">
        <v>0.25</v>
      </c>
      <c r="M50" s="15" t="s">
        <v>153</v>
      </c>
      <c r="N50" s="40">
        <v>4412</v>
      </c>
      <c r="O50" s="40">
        <v>2206</v>
      </c>
      <c r="P50" s="40">
        <v>0</v>
      </c>
      <c r="Q50" s="40">
        <v>0</v>
      </c>
      <c r="R50" s="40">
        <f t="shared" si="1"/>
        <v>6618</v>
      </c>
    </row>
    <row r="51" spans="1:19">
      <c r="A51" s="32">
        <v>45</v>
      </c>
      <c r="B51" s="33" t="s">
        <v>9</v>
      </c>
      <c r="C51" s="34">
        <v>40100</v>
      </c>
      <c r="D51" s="27">
        <v>41124</v>
      </c>
      <c r="E51" s="15">
        <v>2009</v>
      </c>
      <c r="F51" s="32">
        <v>20149</v>
      </c>
      <c r="G51" s="35" t="s">
        <v>243</v>
      </c>
      <c r="H51" s="35" t="s">
        <v>79</v>
      </c>
      <c r="I51" s="27">
        <v>2</v>
      </c>
      <c r="J51" s="36">
        <v>4412</v>
      </c>
      <c r="K51" s="36">
        <v>4412</v>
      </c>
      <c r="L51" s="37">
        <v>0.25</v>
      </c>
      <c r="M51" s="15" t="s">
        <v>151</v>
      </c>
      <c r="N51" s="40">
        <v>8824</v>
      </c>
      <c r="O51" s="40">
        <v>0</v>
      </c>
      <c r="P51" s="40">
        <v>0</v>
      </c>
      <c r="Q51" s="40">
        <v>23182.82</v>
      </c>
      <c r="R51" s="40">
        <f t="shared" si="1"/>
        <v>32006.82</v>
      </c>
    </row>
    <row r="52" spans="1:19">
      <c r="A52" s="32">
        <v>46</v>
      </c>
      <c r="B52" s="41" t="s">
        <v>24</v>
      </c>
      <c r="C52" s="34">
        <v>40100</v>
      </c>
      <c r="D52" s="27">
        <v>41125</v>
      </c>
      <c r="E52" s="15">
        <v>2009</v>
      </c>
      <c r="F52" s="32">
        <v>20150</v>
      </c>
      <c r="G52" s="35" t="s">
        <v>243</v>
      </c>
      <c r="H52" s="35" t="s">
        <v>23</v>
      </c>
      <c r="I52" s="27">
        <v>3</v>
      </c>
      <c r="J52" s="36">
        <v>11214</v>
      </c>
      <c r="K52" s="36">
        <v>16821</v>
      </c>
      <c r="L52" s="37">
        <v>0.25</v>
      </c>
      <c r="M52" s="15" t="s">
        <v>151</v>
      </c>
      <c r="N52" s="40">
        <v>33642</v>
      </c>
      <c r="O52" s="40">
        <v>0</v>
      </c>
      <c r="P52" s="40">
        <v>0</v>
      </c>
      <c r="Q52" s="40">
        <v>1405.83</v>
      </c>
      <c r="R52" s="40">
        <f t="shared" si="1"/>
        <v>35047.83</v>
      </c>
    </row>
    <row r="53" spans="1:19">
      <c r="A53" s="32">
        <v>47</v>
      </c>
      <c r="B53" s="39" t="s">
        <v>90</v>
      </c>
      <c r="C53" s="34">
        <v>40100</v>
      </c>
      <c r="D53" s="27">
        <v>41126</v>
      </c>
      <c r="E53" s="15">
        <v>2009</v>
      </c>
      <c r="F53" s="32">
        <v>20151</v>
      </c>
      <c r="G53" s="35" t="s">
        <v>243</v>
      </c>
      <c r="H53" s="35" t="s">
        <v>23</v>
      </c>
      <c r="I53" s="27">
        <v>4</v>
      </c>
      <c r="J53" s="36">
        <v>11214</v>
      </c>
      <c r="K53" s="36">
        <v>22428</v>
      </c>
      <c r="L53" s="37">
        <v>0.25</v>
      </c>
      <c r="M53" s="15" t="s">
        <v>153</v>
      </c>
      <c r="N53" s="40">
        <v>44856</v>
      </c>
      <c r="O53" s="40">
        <v>22428</v>
      </c>
      <c r="P53" s="40">
        <v>0</v>
      </c>
      <c r="Q53" s="40">
        <v>0</v>
      </c>
      <c r="R53" s="40">
        <f t="shared" si="1"/>
        <v>67284</v>
      </c>
    </row>
    <row r="54" spans="1:19">
      <c r="A54" s="32">
        <v>48</v>
      </c>
      <c r="B54" s="39" t="s">
        <v>36</v>
      </c>
      <c r="C54" s="34">
        <v>40100</v>
      </c>
      <c r="D54" s="27">
        <v>41127</v>
      </c>
      <c r="E54" s="15">
        <v>2009</v>
      </c>
      <c r="F54" s="32">
        <v>20152</v>
      </c>
      <c r="G54" s="35" t="s">
        <v>243</v>
      </c>
      <c r="H54" s="35" t="s">
        <v>23</v>
      </c>
      <c r="I54" s="27">
        <v>1</v>
      </c>
      <c r="J54" s="36">
        <v>11214</v>
      </c>
      <c r="K54" s="36">
        <v>5607</v>
      </c>
      <c r="L54" s="37">
        <v>0.25</v>
      </c>
      <c r="M54" s="15" t="s">
        <v>153</v>
      </c>
      <c r="N54" s="40">
        <v>11214</v>
      </c>
      <c r="O54" s="40">
        <v>5607</v>
      </c>
      <c r="P54" s="40">
        <v>0</v>
      </c>
      <c r="Q54" s="40">
        <v>0</v>
      </c>
      <c r="R54" s="40">
        <f t="shared" si="1"/>
        <v>16821</v>
      </c>
    </row>
    <row r="55" spans="1:19">
      <c r="A55" s="32">
        <v>49</v>
      </c>
      <c r="B55" s="33" t="s">
        <v>19</v>
      </c>
      <c r="C55" s="34">
        <v>40100</v>
      </c>
      <c r="D55" s="27">
        <v>41128</v>
      </c>
      <c r="E55" s="15">
        <v>2009</v>
      </c>
      <c r="F55" s="32">
        <v>20153</v>
      </c>
      <c r="G55" s="35" t="s">
        <v>243</v>
      </c>
      <c r="H55" s="35" t="s">
        <v>23</v>
      </c>
      <c r="I55" s="27">
        <v>8</v>
      </c>
      <c r="J55" s="36">
        <v>5614</v>
      </c>
      <c r="K55" s="36">
        <v>22456</v>
      </c>
      <c r="L55" s="37">
        <v>0.25</v>
      </c>
      <c r="M55" s="15" t="s">
        <v>151</v>
      </c>
      <c r="N55" s="40">
        <v>44912</v>
      </c>
      <c r="O55" s="40">
        <v>0</v>
      </c>
      <c r="P55" s="17">
        <v>0</v>
      </c>
      <c r="Q55" s="17">
        <v>34797.910000000003</v>
      </c>
      <c r="R55" s="40">
        <f t="shared" si="1"/>
        <v>79709.91</v>
      </c>
    </row>
    <row r="56" spans="1:19">
      <c r="A56" s="32">
        <v>50</v>
      </c>
      <c r="B56" s="39" t="s">
        <v>36</v>
      </c>
      <c r="C56" s="34">
        <v>40100</v>
      </c>
      <c r="D56" s="27">
        <v>41129</v>
      </c>
      <c r="E56" s="15">
        <v>2009</v>
      </c>
      <c r="F56" s="32">
        <v>20154</v>
      </c>
      <c r="G56" s="35" t="s">
        <v>243</v>
      </c>
      <c r="H56" s="35" t="s">
        <v>23</v>
      </c>
      <c r="I56" s="27">
        <v>4</v>
      </c>
      <c r="J56" s="36">
        <v>11214</v>
      </c>
      <c r="K56" s="36">
        <v>22428</v>
      </c>
      <c r="L56" s="37">
        <v>0.25</v>
      </c>
      <c r="M56" s="15" t="s">
        <v>152</v>
      </c>
      <c r="N56" s="40">
        <v>44856</v>
      </c>
      <c r="O56" s="40">
        <v>0</v>
      </c>
      <c r="P56" s="40">
        <v>0</v>
      </c>
      <c r="Q56" s="40">
        <v>0</v>
      </c>
      <c r="R56" s="40">
        <f t="shared" si="1"/>
        <v>44856</v>
      </c>
      <c r="S56" s="11" t="s">
        <v>238</v>
      </c>
    </row>
    <row r="57" spans="1:19">
      <c r="A57" s="32">
        <v>51</v>
      </c>
      <c r="B57" s="39" t="s">
        <v>36</v>
      </c>
      <c r="C57" s="34">
        <v>40100</v>
      </c>
      <c r="D57" s="27">
        <v>41130</v>
      </c>
      <c r="E57" s="15">
        <v>2009</v>
      </c>
      <c r="F57" s="32">
        <v>20155</v>
      </c>
      <c r="G57" s="35" t="s">
        <v>243</v>
      </c>
      <c r="H57" s="35" t="s">
        <v>23</v>
      </c>
      <c r="I57" s="27">
        <v>1</v>
      </c>
      <c r="J57" s="36">
        <v>11214</v>
      </c>
      <c r="K57" s="36">
        <v>5607</v>
      </c>
      <c r="L57" s="37">
        <v>0.25</v>
      </c>
      <c r="M57" s="15" t="s">
        <v>153</v>
      </c>
      <c r="N57" s="40">
        <v>11214</v>
      </c>
      <c r="O57" s="40">
        <v>5607</v>
      </c>
      <c r="P57" s="40">
        <v>0</v>
      </c>
      <c r="Q57" s="40">
        <v>0</v>
      </c>
      <c r="R57" s="40">
        <f t="shared" si="1"/>
        <v>16821</v>
      </c>
    </row>
    <row r="58" spans="1:19">
      <c r="A58" s="32">
        <v>52</v>
      </c>
      <c r="B58" s="39" t="s">
        <v>36</v>
      </c>
      <c r="C58" s="34">
        <v>40100</v>
      </c>
      <c r="D58" s="27">
        <v>41131</v>
      </c>
      <c r="E58" s="15">
        <v>2009</v>
      </c>
      <c r="F58" s="32">
        <v>20156</v>
      </c>
      <c r="G58" s="35" t="s">
        <v>243</v>
      </c>
      <c r="H58" s="35" t="s">
        <v>23</v>
      </c>
      <c r="I58" s="27">
        <v>86</v>
      </c>
      <c r="J58" s="36">
        <v>6614</v>
      </c>
      <c r="K58" s="36">
        <v>284402</v>
      </c>
      <c r="L58" s="37">
        <v>0.25</v>
      </c>
      <c r="M58" s="15" t="s">
        <v>151</v>
      </c>
      <c r="N58" s="40">
        <v>568804</v>
      </c>
      <c r="O58" s="40">
        <v>183935.34</v>
      </c>
      <c r="P58" s="40">
        <v>0</v>
      </c>
      <c r="Q58" s="40">
        <v>101666.48</v>
      </c>
      <c r="R58" s="40">
        <f t="shared" si="1"/>
        <v>854405.82</v>
      </c>
    </row>
    <row r="59" spans="1:19">
      <c r="A59" s="32">
        <v>53</v>
      </c>
      <c r="B59" s="33" t="s">
        <v>19</v>
      </c>
      <c r="C59" s="34">
        <v>40100</v>
      </c>
      <c r="D59" s="27">
        <v>41132</v>
      </c>
      <c r="E59" s="15">
        <v>2009</v>
      </c>
      <c r="F59" s="32">
        <v>20157</v>
      </c>
      <c r="G59" s="35" t="s">
        <v>243</v>
      </c>
      <c r="H59" s="35" t="s">
        <v>23</v>
      </c>
      <c r="I59" s="27">
        <v>82</v>
      </c>
      <c r="J59" s="36">
        <v>6614</v>
      </c>
      <c r="K59" s="36">
        <v>271174</v>
      </c>
      <c r="L59" s="37">
        <v>0.25</v>
      </c>
      <c r="M59" s="15" t="s">
        <v>153</v>
      </c>
      <c r="N59" s="40">
        <v>542348</v>
      </c>
      <c r="O59" s="40">
        <v>271174</v>
      </c>
      <c r="P59" s="40">
        <v>0</v>
      </c>
      <c r="Q59" s="40">
        <v>0</v>
      </c>
      <c r="R59" s="40">
        <f t="shared" si="1"/>
        <v>813522</v>
      </c>
    </row>
    <row r="60" spans="1:19">
      <c r="A60" s="32">
        <v>54</v>
      </c>
      <c r="B60" s="60" t="s">
        <v>93</v>
      </c>
      <c r="C60" s="34">
        <v>40100</v>
      </c>
      <c r="D60" s="27">
        <v>41133</v>
      </c>
      <c r="E60" s="15">
        <v>2009</v>
      </c>
      <c r="F60" s="32">
        <v>20158</v>
      </c>
      <c r="G60" s="35" t="s">
        <v>243</v>
      </c>
      <c r="H60" s="35" t="s">
        <v>101</v>
      </c>
      <c r="I60" s="27">
        <v>30</v>
      </c>
      <c r="J60" s="36">
        <v>2500</v>
      </c>
      <c r="K60" s="36">
        <v>37500</v>
      </c>
      <c r="L60" s="37">
        <v>0.26</v>
      </c>
      <c r="M60" s="15" t="s">
        <v>151</v>
      </c>
      <c r="N60" s="40">
        <v>75000</v>
      </c>
      <c r="O60" s="40">
        <v>0</v>
      </c>
      <c r="P60" s="40">
        <v>0</v>
      </c>
      <c r="Q60" s="40">
        <v>20360.48</v>
      </c>
      <c r="R60" s="40">
        <f t="shared" si="1"/>
        <v>95360.48</v>
      </c>
    </row>
    <row r="61" spans="1:19">
      <c r="A61" s="32">
        <v>55</v>
      </c>
      <c r="B61" s="33" t="s">
        <v>9</v>
      </c>
      <c r="C61" s="34">
        <v>40100</v>
      </c>
      <c r="D61" s="27">
        <v>41134</v>
      </c>
      <c r="E61" s="15">
        <v>2009</v>
      </c>
      <c r="F61" s="32">
        <v>20159</v>
      </c>
      <c r="G61" s="35" t="s">
        <v>243</v>
      </c>
      <c r="H61" s="35" t="s">
        <v>101</v>
      </c>
      <c r="I61" s="27">
        <v>6</v>
      </c>
      <c r="J61" s="36">
        <v>2500</v>
      </c>
      <c r="K61" s="36">
        <v>7500</v>
      </c>
      <c r="L61" s="37">
        <v>0.26</v>
      </c>
      <c r="M61" s="15" t="s">
        <v>153</v>
      </c>
      <c r="N61" s="40">
        <v>15000</v>
      </c>
      <c r="O61" s="40">
        <v>7500</v>
      </c>
      <c r="P61" s="40">
        <v>0</v>
      </c>
      <c r="Q61" s="40">
        <v>0</v>
      </c>
      <c r="R61" s="40">
        <f t="shared" si="1"/>
        <v>22500</v>
      </c>
    </row>
    <row r="62" spans="1:19">
      <c r="A62" s="32">
        <v>56</v>
      </c>
      <c r="B62" s="44" t="s">
        <v>15</v>
      </c>
      <c r="C62" s="45">
        <v>40100</v>
      </c>
      <c r="D62" s="15">
        <v>41153</v>
      </c>
      <c r="E62" s="15">
        <v>2009</v>
      </c>
      <c r="F62" s="18">
        <v>20163</v>
      </c>
      <c r="G62" s="46" t="s">
        <v>123</v>
      </c>
      <c r="H62" s="46" t="s">
        <v>14</v>
      </c>
      <c r="I62" s="15">
        <v>478.29899999999998</v>
      </c>
      <c r="J62" s="47">
        <v>8700</v>
      </c>
      <c r="K62" s="47">
        <v>2080600.65</v>
      </c>
      <c r="L62" s="48">
        <v>0.25</v>
      </c>
      <c r="M62" s="15" t="s">
        <v>151</v>
      </c>
      <c r="N62" s="17">
        <v>4161201.3</v>
      </c>
      <c r="O62" s="40">
        <v>0</v>
      </c>
      <c r="P62" s="40">
        <v>0</v>
      </c>
      <c r="Q62" s="40">
        <f>242885.05+70228.32+90274.88+300957.34+101370.2+42946.62</f>
        <v>848662.41</v>
      </c>
      <c r="R62" s="40">
        <f t="shared" si="1"/>
        <v>5009863.71</v>
      </c>
    </row>
    <row r="63" spans="1:19">
      <c r="A63" s="32">
        <v>57</v>
      </c>
      <c r="B63" s="44" t="s">
        <v>15</v>
      </c>
      <c r="C63" s="45">
        <v>40100</v>
      </c>
      <c r="D63" s="15">
        <v>41154</v>
      </c>
      <c r="E63" s="15">
        <v>2009</v>
      </c>
      <c r="F63" s="18">
        <v>20164</v>
      </c>
      <c r="G63" s="46" t="s">
        <v>123</v>
      </c>
      <c r="H63" s="46" t="s">
        <v>14</v>
      </c>
      <c r="I63" s="15">
        <v>254.35499999999999</v>
      </c>
      <c r="J63" s="47">
        <v>8700</v>
      </c>
      <c r="K63" s="47">
        <v>1106444.25</v>
      </c>
      <c r="L63" s="48">
        <v>0.25</v>
      </c>
      <c r="M63" s="15" t="s">
        <v>151</v>
      </c>
      <c r="N63" s="17">
        <v>2212888.5</v>
      </c>
      <c r="O63" s="40">
        <v>0</v>
      </c>
      <c r="P63" s="40">
        <v>0</v>
      </c>
      <c r="Q63" s="40">
        <f>74462.45+215854.95</f>
        <v>290317.40000000002</v>
      </c>
      <c r="R63" s="40">
        <f t="shared" si="1"/>
        <v>2503205.9</v>
      </c>
    </row>
    <row r="64" spans="1:19">
      <c r="A64" s="32">
        <v>58</v>
      </c>
      <c r="B64" s="44" t="s">
        <v>15</v>
      </c>
      <c r="C64" s="45">
        <v>40100</v>
      </c>
      <c r="D64" s="15">
        <v>41156</v>
      </c>
      <c r="E64" s="15">
        <v>2009</v>
      </c>
      <c r="F64" s="18">
        <v>20165</v>
      </c>
      <c r="G64" s="46" t="s">
        <v>120</v>
      </c>
      <c r="H64" s="46" t="s">
        <v>79</v>
      </c>
      <c r="I64" s="15">
        <v>11.26</v>
      </c>
      <c r="J64" s="47">
        <v>5219</v>
      </c>
      <c r="K64" s="47">
        <v>29382.97</v>
      </c>
      <c r="L64" s="48">
        <v>0.25</v>
      </c>
      <c r="M64" s="15" t="s">
        <v>151</v>
      </c>
      <c r="N64" s="17">
        <v>58765.94</v>
      </c>
      <c r="O64" s="40"/>
      <c r="P64" s="40">
        <v>0</v>
      </c>
      <c r="Q64" s="40">
        <v>32828.639999999999</v>
      </c>
      <c r="R64" s="40">
        <f t="shared" si="1"/>
        <v>91594.58</v>
      </c>
    </row>
    <row r="65" spans="1:19">
      <c r="A65" s="32">
        <v>59</v>
      </c>
      <c r="B65" s="44" t="s">
        <v>9</v>
      </c>
      <c r="C65" s="45">
        <v>40100</v>
      </c>
      <c r="D65" s="15">
        <v>41157</v>
      </c>
      <c r="E65" s="15">
        <v>2009</v>
      </c>
      <c r="F65" s="18">
        <v>20166</v>
      </c>
      <c r="G65" s="46" t="s">
        <v>126</v>
      </c>
      <c r="H65" s="46" t="s">
        <v>79</v>
      </c>
      <c r="I65" s="15">
        <v>13.5</v>
      </c>
      <c r="J65" s="47">
        <v>9157</v>
      </c>
      <c r="K65" s="47">
        <v>61809.75</v>
      </c>
      <c r="L65" s="48">
        <v>0.25</v>
      </c>
      <c r="M65" s="15" t="s">
        <v>153</v>
      </c>
      <c r="N65" s="17">
        <v>123619.5</v>
      </c>
      <c r="O65" s="40">
        <v>0</v>
      </c>
      <c r="P65" s="40">
        <v>0</v>
      </c>
      <c r="Q65" s="40">
        <v>0</v>
      </c>
      <c r="R65" s="40">
        <f t="shared" si="1"/>
        <v>123619.5</v>
      </c>
      <c r="S65" s="11" t="s">
        <v>221</v>
      </c>
    </row>
    <row r="66" spans="1:19">
      <c r="A66" s="32">
        <v>60</v>
      </c>
      <c r="B66" s="44" t="s">
        <v>9</v>
      </c>
      <c r="C66" s="45">
        <v>40100</v>
      </c>
      <c r="D66" s="15">
        <v>41158</v>
      </c>
      <c r="E66" s="15">
        <v>2009</v>
      </c>
      <c r="F66" s="18">
        <v>20167</v>
      </c>
      <c r="G66" s="46" t="s">
        <v>126</v>
      </c>
      <c r="H66" s="46" t="s">
        <v>79</v>
      </c>
      <c r="I66" s="15">
        <v>27.5</v>
      </c>
      <c r="J66" s="47">
        <v>9157</v>
      </c>
      <c r="K66" s="47">
        <v>125908.75</v>
      </c>
      <c r="L66" s="48">
        <v>0.25</v>
      </c>
      <c r="M66" s="15" t="s">
        <v>153</v>
      </c>
      <c r="N66" s="17">
        <v>251817.5</v>
      </c>
      <c r="O66" s="40">
        <v>0</v>
      </c>
      <c r="P66" s="40">
        <v>0</v>
      </c>
      <c r="Q66" s="40">
        <v>0</v>
      </c>
      <c r="R66" s="40">
        <f t="shared" si="1"/>
        <v>251817.5</v>
      </c>
      <c r="S66" s="11" t="s">
        <v>221</v>
      </c>
    </row>
    <row r="67" spans="1:19">
      <c r="A67" s="32">
        <v>61</v>
      </c>
      <c r="B67" s="44" t="s">
        <v>9</v>
      </c>
      <c r="C67" s="45">
        <v>40100</v>
      </c>
      <c r="D67" s="15">
        <v>41159</v>
      </c>
      <c r="E67" s="15">
        <v>2009</v>
      </c>
      <c r="F67" s="18">
        <v>20168</v>
      </c>
      <c r="G67" s="46" t="s">
        <v>126</v>
      </c>
      <c r="H67" s="46" t="s">
        <v>79</v>
      </c>
      <c r="I67" s="15">
        <v>68</v>
      </c>
      <c r="J67" s="47">
        <v>9157</v>
      </c>
      <c r="K67" s="47">
        <v>311338</v>
      </c>
      <c r="L67" s="48">
        <v>0.25</v>
      </c>
      <c r="M67" s="15" t="s">
        <v>151</v>
      </c>
      <c r="N67" s="17">
        <v>622676</v>
      </c>
      <c r="O67" s="40">
        <v>311338</v>
      </c>
      <c r="P67" s="40">
        <v>0</v>
      </c>
      <c r="Q67" s="40">
        <v>26205.43</v>
      </c>
      <c r="R67" s="40">
        <f t="shared" si="1"/>
        <v>960219.43</v>
      </c>
    </row>
    <row r="68" spans="1:19">
      <c r="A68" s="32">
        <v>62</v>
      </c>
      <c r="B68" s="44" t="s">
        <v>9</v>
      </c>
      <c r="C68" s="45">
        <v>40100</v>
      </c>
      <c r="D68" s="15">
        <v>41160</v>
      </c>
      <c r="E68" s="15">
        <v>2009</v>
      </c>
      <c r="F68" s="18">
        <v>20169</v>
      </c>
      <c r="G68" s="46" t="s">
        <v>132</v>
      </c>
      <c r="H68" s="46" t="s">
        <v>23</v>
      </c>
      <c r="I68" s="15">
        <v>147.05000000000001</v>
      </c>
      <c r="J68" s="47">
        <v>11214</v>
      </c>
      <c r="K68" s="47">
        <v>824509.35</v>
      </c>
      <c r="L68" s="48">
        <v>0.25</v>
      </c>
      <c r="M68" s="15" t="s">
        <v>151</v>
      </c>
      <c r="N68" s="17">
        <v>1649018.7</v>
      </c>
      <c r="O68" s="40">
        <v>0</v>
      </c>
      <c r="P68" s="40">
        <v>0</v>
      </c>
      <c r="Q68" s="40">
        <v>285803.19</v>
      </c>
      <c r="R68" s="40">
        <f t="shared" si="1"/>
        <v>1934821.89</v>
      </c>
    </row>
    <row r="69" spans="1:19">
      <c r="A69" s="32">
        <v>63</v>
      </c>
      <c r="B69" s="33" t="s">
        <v>19</v>
      </c>
      <c r="C69" s="34">
        <v>40100</v>
      </c>
      <c r="D69" s="27">
        <v>41165</v>
      </c>
      <c r="E69" s="15">
        <v>2009</v>
      </c>
      <c r="F69" s="32">
        <v>20173</v>
      </c>
      <c r="G69" s="35" t="s">
        <v>243</v>
      </c>
      <c r="H69" s="35" t="s">
        <v>23</v>
      </c>
      <c r="I69" s="27">
        <v>40</v>
      </c>
      <c r="J69" s="36">
        <v>11214</v>
      </c>
      <c r="K69" s="36">
        <v>224280</v>
      </c>
      <c r="L69" s="37">
        <v>0.25</v>
      </c>
      <c r="M69" s="15" t="s">
        <v>151</v>
      </c>
      <c r="N69" s="40">
        <v>448560</v>
      </c>
      <c r="O69" s="40">
        <v>0</v>
      </c>
      <c r="P69" s="17">
        <v>0</v>
      </c>
      <c r="Q69" s="17">
        <v>61249.53</v>
      </c>
      <c r="R69" s="40">
        <f t="shared" si="1"/>
        <v>509809.53</v>
      </c>
      <c r="S69"/>
    </row>
    <row r="70" spans="1:19">
      <c r="A70" s="32">
        <v>64</v>
      </c>
      <c r="B70" s="33" t="s">
        <v>56</v>
      </c>
      <c r="C70" s="34">
        <v>40129</v>
      </c>
      <c r="D70" s="27">
        <v>41168</v>
      </c>
      <c r="E70" s="15">
        <v>2009</v>
      </c>
      <c r="F70" s="32">
        <v>20174</v>
      </c>
      <c r="G70" s="35" t="s">
        <v>243</v>
      </c>
      <c r="H70" s="35" t="s">
        <v>102</v>
      </c>
      <c r="I70" s="27">
        <v>75</v>
      </c>
      <c r="J70" s="27">
        <v>350</v>
      </c>
      <c r="K70" s="27">
        <v>26250</v>
      </c>
      <c r="L70" s="37">
        <v>0.25</v>
      </c>
      <c r="M70" s="15" t="s">
        <v>153</v>
      </c>
      <c r="N70" s="40">
        <v>26250</v>
      </c>
      <c r="O70" s="40">
        <v>26250</v>
      </c>
      <c r="P70" s="40">
        <v>0</v>
      </c>
      <c r="Q70" s="40">
        <v>0</v>
      </c>
      <c r="R70" s="40">
        <f t="shared" si="1"/>
        <v>52500</v>
      </c>
    </row>
    <row r="71" spans="1:19">
      <c r="A71" s="32">
        <v>65</v>
      </c>
      <c r="B71" s="33" t="s">
        <v>24</v>
      </c>
      <c r="C71" s="34">
        <v>40129</v>
      </c>
      <c r="D71" s="27">
        <v>41190</v>
      </c>
      <c r="E71" s="15">
        <v>2009</v>
      </c>
      <c r="F71" s="32">
        <v>20186</v>
      </c>
      <c r="G71" s="35" t="s">
        <v>243</v>
      </c>
      <c r="H71" s="35" t="s">
        <v>23</v>
      </c>
      <c r="I71" s="27">
        <v>87.56</v>
      </c>
      <c r="J71" s="27">
        <v>26000</v>
      </c>
      <c r="K71" s="27">
        <v>1138280</v>
      </c>
      <c r="L71" s="37">
        <v>0.22500000000000001</v>
      </c>
      <c r="M71" s="15" t="s">
        <v>151</v>
      </c>
      <c r="N71" s="40">
        <v>2276560</v>
      </c>
      <c r="O71" s="40">
        <v>0</v>
      </c>
      <c r="P71" s="17">
        <v>514.91999999999996</v>
      </c>
      <c r="Q71" s="17">
        <v>480799.37</v>
      </c>
      <c r="R71" s="40">
        <f t="shared" si="1"/>
        <v>2757874.29</v>
      </c>
      <c r="S71"/>
    </row>
    <row r="72" spans="1:19">
      <c r="A72" s="32">
        <v>66</v>
      </c>
      <c r="B72" s="33" t="s">
        <v>56</v>
      </c>
      <c r="C72" s="34">
        <v>40156</v>
      </c>
      <c r="D72" s="27">
        <v>41191</v>
      </c>
      <c r="E72" s="15">
        <v>2009</v>
      </c>
      <c r="F72" s="32">
        <v>20187</v>
      </c>
      <c r="G72" s="35" t="s">
        <v>243</v>
      </c>
      <c r="H72" s="35" t="s">
        <v>79</v>
      </c>
      <c r="I72" s="27">
        <v>3</v>
      </c>
      <c r="J72" s="27">
        <v>3878</v>
      </c>
      <c r="K72" s="27">
        <v>5817</v>
      </c>
      <c r="L72" s="37">
        <v>0.25</v>
      </c>
      <c r="M72" s="15" t="s">
        <v>153</v>
      </c>
      <c r="N72" s="40">
        <v>11634</v>
      </c>
      <c r="O72" s="40">
        <v>5817</v>
      </c>
      <c r="P72" s="40">
        <v>0</v>
      </c>
      <c r="Q72" s="40">
        <v>0</v>
      </c>
      <c r="R72" s="40">
        <f t="shared" si="1"/>
        <v>17451</v>
      </c>
    </row>
    <row r="73" spans="1:19">
      <c r="A73" s="32">
        <v>67</v>
      </c>
      <c r="B73" s="33" t="s">
        <v>56</v>
      </c>
      <c r="C73" s="34">
        <v>40156</v>
      </c>
      <c r="D73" s="27">
        <v>41192</v>
      </c>
      <c r="E73" s="15">
        <v>2009</v>
      </c>
      <c r="F73" s="32">
        <v>20188</v>
      </c>
      <c r="G73" s="35" t="s">
        <v>243</v>
      </c>
      <c r="H73" s="35" t="s">
        <v>79</v>
      </c>
      <c r="I73" s="27">
        <v>7</v>
      </c>
      <c r="J73" s="27">
        <v>1013</v>
      </c>
      <c r="K73" s="27">
        <v>3545.5</v>
      </c>
      <c r="L73" s="37">
        <v>0.25</v>
      </c>
      <c r="M73" s="15" t="s">
        <v>153</v>
      </c>
      <c r="N73" s="40">
        <v>7091</v>
      </c>
      <c r="O73" s="40">
        <v>3545.5</v>
      </c>
      <c r="P73" s="40">
        <v>0</v>
      </c>
      <c r="Q73" s="40">
        <v>0</v>
      </c>
      <c r="R73" s="40">
        <f t="shared" si="1"/>
        <v>10636.5</v>
      </c>
    </row>
    <row r="74" spans="1:19" s="11" customFormat="1">
      <c r="A74" s="32">
        <v>68</v>
      </c>
      <c r="B74" s="33" t="s">
        <v>56</v>
      </c>
      <c r="C74" s="34">
        <v>40156</v>
      </c>
      <c r="D74" s="27">
        <v>41193</v>
      </c>
      <c r="E74" s="15">
        <v>2009</v>
      </c>
      <c r="F74" s="32">
        <v>20189</v>
      </c>
      <c r="G74" s="35" t="s">
        <v>243</v>
      </c>
      <c r="H74" s="35" t="s">
        <v>79</v>
      </c>
      <c r="I74" s="27">
        <v>14</v>
      </c>
      <c r="J74" s="27">
        <v>3878</v>
      </c>
      <c r="K74" s="27">
        <v>27146</v>
      </c>
      <c r="L74" s="37">
        <v>0.25</v>
      </c>
      <c r="M74" s="15" t="s">
        <v>153</v>
      </c>
      <c r="N74" s="40">
        <v>54292</v>
      </c>
      <c r="O74" s="40">
        <v>27146</v>
      </c>
      <c r="P74" s="40">
        <v>0</v>
      </c>
      <c r="Q74" s="40">
        <v>0</v>
      </c>
      <c r="R74" s="40">
        <f t="shared" si="1"/>
        <v>81438</v>
      </c>
    </row>
    <row r="75" spans="1:19" s="11" customFormat="1">
      <c r="A75" s="32">
        <v>69</v>
      </c>
      <c r="B75" s="33" t="s">
        <v>56</v>
      </c>
      <c r="C75" s="34">
        <v>40156</v>
      </c>
      <c r="D75" s="27">
        <v>41194</v>
      </c>
      <c r="E75" s="15">
        <v>2009</v>
      </c>
      <c r="F75" s="32">
        <v>20190</v>
      </c>
      <c r="G75" s="35" t="s">
        <v>243</v>
      </c>
      <c r="H75" s="35" t="s">
        <v>79</v>
      </c>
      <c r="I75" s="27">
        <v>17</v>
      </c>
      <c r="J75" s="27">
        <v>1013</v>
      </c>
      <c r="K75" s="27">
        <v>8610.5</v>
      </c>
      <c r="L75" s="37">
        <v>0.25</v>
      </c>
      <c r="M75" s="15" t="s">
        <v>153</v>
      </c>
      <c r="N75" s="40">
        <v>17221</v>
      </c>
      <c r="O75" s="40">
        <v>8610.5</v>
      </c>
      <c r="P75" s="40">
        <v>0</v>
      </c>
      <c r="Q75" s="40">
        <v>0</v>
      </c>
      <c r="R75" s="40">
        <f t="shared" si="1"/>
        <v>25831.5</v>
      </c>
    </row>
    <row r="76" spans="1:19" s="11" customFormat="1">
      <c r="A76" s="32">
        <v>70</v>
      </c>
      <c r="B76" s="33" t="s">
        <v>56</v>
      </c>
      <c r="C76" s="34">
        <v>40156</v>
      </c>
      <c r="D76" s="27">
        <v>41195</v>
      </c>
      <c r="E76" s="15">
        <v>2009</v>
      </c>
      <c r="F76" s="32">
        <v>20191</v>
      </c>
      <c r="G76" s="35" t="s">
        <v>243</v>
      </c>
      <c r="H76" s="35" t="s">
        <v>79</v>
      </c>
      <c r="I76" s="27">
        <v>5</v>
      </c>
      <c r="J76" s="27">
        <v>1013</v>
      </c>
      <c r="K76" s="27">
        <v>2532.5</v>
      </c>
      <c r="L76" s="37">
        <v>0.25</v>
      </c>
      <c r="M76" s="15" t="s">
        <v>153</v>
      </c>
      <c r="N76" s="40">
        <v>5065</v>
      </c>
      <c r="O76" s="40">
        <v>2532.5</v>
      </c>
      <c r="P76" s="40">
        <v>0</v>
      </c>
      <c r="Q76" s="40">
        <v>0</v>
      </c>
      <c r="R76" s="40">
        <f t="shared" si="1"/>
        <v>7597.5</v>
      </c>
    </row>
    <row r="77" spans="1:19" s="11" customFormat="1">
      <c r="A77" s="32">
        <v>71</v>
      </c>
      <c r="B77" s="33" t="s">
        <v>56</v>
      </c>
      <c r="C77" s="34">
        <v>40156</v>
      </c>
      <c r="D77" s="27">
        <v>41196</v>
      </c>
      <c r="E77" s="15">
        <v>2009</v>
      </c>
      <c r="F77" s="32">
        <v>20192</v>
      </c>
      <c r="G77" s="35" t="s">
        <v>243</v>
      </c>
      <c r="H77" s="35" t="s">
        <v>79</v>
      </c>
      <c r="I77" s="27">
        <v>16</v>
      </c>
      <c r="J77" s="27">
        <v>1013</v>
      </c>
      <c r="K77" s="27">
        <v>8104</v>
      </c>
      <c r="L77" s="37">
        <v>0.25</v>
      </c>
      <c r="M77" s="15" t="s">
        <v>153</v>
      </c>
      <c r="N77" s="40">
        <v>16208</v>
      </c>
      <c r="O77" s="40">
        <v>8104</v>
      </c>
      <c r="P77" s="40">
        <v>0</v>
      </c>
      <c r="Q77" s="40">
        <v>0</v>
      </c>
      <c r="R77" s="40">
        <f t="shared" si="1"/>
        <v>24312</v>
      </c>
    </row>
    <row r="78" spans="1:19" s="11" customFormat="1">
      <c r="A78" s="32">
        <v>72</v>
      </c>
      <c r="B78" s="33" t="s">
        <v>56</v>
      </c>
      <c r="C78" s="34">
        <v>40156</v>
      </c>
      <c r="D78" s="27">
        <v>41197</v>
      </c>
      <c r="E78" s="15">
        <v>2009</v>
      </c>
      <c r="F78" s="32">
        <v>20193</v>
      </c>
      <c r="G78" s="35" t="s">
        <v>243</v>
      </c>
      <c r="H78" s="35" t="s">
        <v>79</v>
      </c>
      <c r="I78" s="27">
        <v>6</v>
      </c>
      <c r="J78" s="27">
        <v>1013</v>
      </c>
      <c r="K78" s="27">
        <v>3039</v>
      </c>
      <c r="L78" s="37">
        <v>0.25</v>
      </c>
      <c r="M78" s="15" t="s">
        <v>153</v>
      </c>
      <c r="N78" s="40">
        <v>6078</v>
      </c>
      <c r="O78" s="40">
        <v>3039</v>
      </c>
      <c r="P78" s="40">
        <v>0</v>
      </c>
      <c r="Q78" s="40">
        <v>0</v>
      </c>
      <c r="R78" s="40">
        <f t="shared" si="1"/>
        <v>9117</v>
      </c>
    </row>
    <row r="79" spans="1:19" s="11" customFormat="1">
      <c r="A79" s="32">
        <v>73</v>
      </c>
      <c r="B79" s="44" t="s">
        <v>15</v>
      </c>
      <c r="C79" s="45">
        <v>40156</v>
      </c>
      <c r="D79" s="15">
        <v>41242</v>
      </c>
      <c r="E79" s="15">
        <v>2009</v>
      </c>
      <c r="F79" s="18">
        <v>20211</v>
      </c>
      <c r="G79" s="46" t="s">
        <v>122</v>
      </c>
      <c r="H79" s="46" t="s">
        <v>59</v>
      </c>
      <c r="I79" s="15">
        <v>30</v>
      </c>
      <c r="J79" s="15">
        <v>307.5</v>
      </c>
      <c r="K79" s="15">
        <v>4612.5</v>
      </c>
      <c r="L79" s="48">
        <v>0.25</v>
      </c>
      <c r="M79" s="15" t="s">
        <v>151</v>
      </c>
      <c r="N79" s="17">
        <v>9225</v>
      </c>
      <c r="O79" s="40">
        <v>0</v>
      </c>
      <c r="P79" s="40">
        <v>4411</v>
      </c>
      <c r="Q79" s="40">
        <v>673</v>
      </c>
      <c r="R79" s="40">
        <f t="shared" si="1"/>
        <v>14309</v>
      </c>
    </row>
    <row r="80" spans="1:19" s="11" customFormat="1">
      <c r="A80" s="32">
        <v>74</v>
      </c>
      <c r="B80" s="44" t="s">
        <v>17</v>
      </c>
      <c r="C80" s="45">
        <v>40156</v>
      </c>
      <c r="D80" s="15">
        <v>41244</v>
      </c>
      <c r="E80" s="15">
        <v>2009</v>
      </c>
      <c r="F80" s="18">
        <v>20213</v>
      </c>
      <c r="G80" s="46" t="s">
        <v>139</v>
      </c>
      <c r="H80" s="46" t="s">
        <v>79</v>
      </c>
      <c r="I80" s="15">
        <v>0.08</v>
      </c>
      <c r="J80" s="15">
        <v>7027</v>
      </c>
      <c r="K80" s="15">
        <v>281.08</v>
      </c>
      <c r="L80" s="48">
        <v>0.25</v>
      </c>
      <c r="M80" s="15" t="s">
        <v>151</v>
      </c>
      <c r="N80" s="17">
        <v>562.16</v>
      </c>
      <c r="O80" s="40">
        <v>0</v>
      </c>
      <c r="P80" s="40">
        <v>0</v>
      </c>
      <c r="Q80" s="40">
        <v>951.04</v>
      </c>
      <c r="R80" s="40">
        <f t="shared" si="1"/>
        <v>1513.1999999999998</v>
      </c>
    </row>
    <row r="81" spans="1:19" s="11" customFormat="1">
      <c r="A81" s="32">
        <v>75</v>
      </c>
      <c r="B81" s="44" t="s">
        <v>17</v>
      </c>
      <c r="C81" s="45">
        <v>40156</v>
      </c>
      <c r="D81" s="15">
        <v>41245</v>
      </c>
      <c r="E81" s="15">
        <v>2009</v>
      </c>
      <c r="F81" s="18">
        <v>20214</v>
      </c>
      <c r="G81" s="46" t="s">
        <v>139</v>
      </c>
      <c r="H81" s="46" t="s">
        <v>79</v>
      </c>
      <c r="I81" s="15">
        <v>21.53</v>
      </c>
      <c r="J81" s="15">
        <v>9027</v>
      </c>
      <c r="K81" s="15">
        <v>97175.66</v>
      </c>
      <c r="L81" s="48">
        <v>0.25</v>
      </c>
      <c r="M81" s="15" t="s">
        <v>151</v>
      </c>
      <c r="N81" s="17">
        <v>194351.31</v>
      </c>
      <c r="O81" s="40">
        <v>0</v>
      </c>
      <c r="P81" s="40">
        <v>0</v>
      </c>
      <c r="Q81" s="40">
        <f>2974.59</f>
        <v>2974.59</v>
      </c>
      <c r="R81" s="40">
        <f t="shared" si="1"/>
        <v>197325.9</v>
      </c>
    </row>
    <row r="82" spans="1:19" s="11" customFormat="1">
      <c r="A82" s="32">
        <v>76</v>
      </c>
      <c r="B82" s="44" t="s">
        <v>9</v>
      </c>
      <c r="C82" s="45">
        <v>40156</v>
      </c>
      <c r="D82" s="15">
        <v>41246</v>
      </c>
      <c r="E82" s="15">
        <v>2009</v>
      </c>
      <c r="F82" s="18">
        <v>20215</v>
      </c>
      <c r="G82" s="46" t="s">
        <v>131</v>
      </c>
      <c r="H82" s="46" t="s">
        <v>79</v>
      </c>
      <c r="I82" s="15">
        <v>185.66</v>
      </c>
      <c r="J82" s="15">
        <v>18537</v>
      </c>
      <c r="K82" s="15">
        <v>1720789.72</v>
      </c>
      <c r="L82" s="48">
        <v>0.25</v>
      </c>
      <c r="M82" s="15" t="s">
        <v>153</v>
      </c>
      <c r="N82" s="17">
        <v>3441579.43</v>
      </c>
      <c r="O82" s="40">
        <v>1358502.59</v>
      </c>
      <c r="P82" s="40">
        <v>0</v>
      </c>
      <c r="Q82" s="40">
        <v>0</v>
      </c>
      <c r="R82" s="40">
        <f t="shared" si="1"/>
        <v>4800082.0200000005</v>
      </c>
    </row>
    <row r="83" spans="1:19" s="11" customFormat="1">
      <c r="A83" s="32">
        <v>77</v>
      </c>
      <c r="B83" s="44" t="s">
        <v>9</v>
      </c>
      <c r="C83" s="45">
        <v>40156</v>
      </c>
      <c r="D83" s="15">
        <v>41247</v>
      </c>
      <c r="E83" s="15">
        <v>2009</v>
      </c>
      <c r="F83" s="18">
        <v>20216</v>
      </c>
      <c r="G83" s="56" t="s">
        <v>248</v>
      </c>
      <c r="H83" s="46" t="s">
        <v>79</v>
      </c>
      <c r="I83" s="15">
        <v>320</v>
      </c>
      <c r="J83" s="15">
        <v>8513</v>
      </c>
      <c r="K83" s="15">
        <v>1362080</v>
      </c>
      <c r="L83" s="48">
        <v>0.25</v>
      </c>
      <c r="M83" s="15" t="s">
        <v>150</v>
      </c>
      <c r="N83" s="17">
        <v>2724160</v>
      </c>
      <c r="O83" s="40">
        <v>0</v>
      </c>
      <c r="P83" s="40">
        <v>0</v>
      </c>
      <c r="Q83" s="40">
        <v>0</v>
      </c>
      <c r="R83" s="40">
        <f t="shared" si="1"/>
        <v>2724160</v>
      </c>
    </row>
    <row r="84" spans="1:19" s="11" customFormat="1">
      <c r="A84" s="32">
        <v>78</v>
      </c>
      <c r="B84" s="44" t="s">
        <v>9</v>
      </c>
      <c r="C84" s="45">
        <v>40156</v>
      </c>
      <c r="D84" s="15">
        <v>41248</v>
      </c>
      <c r="E84" s="15">
        <v>2009</v>
      </c>
      <c r="F84" s="18">
        <v>20217</v>
      </c>
      <c r="G84" s="46" t="s">
        <v>131</v>
      </c>
      <c r="H84" s="46" t="s">
        <v>79</v>
      </c>
      <c r="I84" s="15">
        <v>41</v>
      </c>
      <c r="J84" s="15">
        <v>13537</v>
      </c>
      <c r="K84" s="15">
        <v>277508.5</v>
      </c>
      <c r="L84" s="48">
        <v>0.25</v>
      </c>
      <c r="M84" s="15" t="s">
        <v>151</v>
      </c>
      <c r="N84" s="17">
        <v>555017</v>
      </c>
      <c r="O84" s="40">
        <v>0</v>
      </c>
      <c r="P84" s="40">
        <v>0</v>
      </c>
      <c r="Q84" s="40">
        <v>47885.71</v>
      </c>
      <c r="R84" s="40">
        <f t="shared" si="1"/>
        <v>602902.71</v>
      </c>
    </row>
    <row r="85" spans="1:19" s="11" customFormat="1" ht="17.25">
      <c r="A85" s="32">
        <v>79</v>
      </c>
      <c r="B85" s="44" t="s">
        <v>9</v>
      </c>
      <c r="C85" s="45">
        <v>40156</v>
      </c>
      <c r="D85" s="15">
        <v>41249</v>
      </c>
      <c r="E85" s="15">
        <v>2009</v>
      </c>
      <c r="F85" s="18">
        <v>20218</v>
      </c>
      <c r="G85" s="46" t="s">
        <v>132</v>
      </c>
      <c r="H85" s="46" t="s">
        <v>79</v>
      </c>
      <c r="I85" s="15">
        <v>2</v>
      </c>
      <c r="J85" s="15">
        <v>9214</v>
      </c>
      <c r="K85" s="15">
        <v>9214</v>
      </c>
      <c r="L85" s="48">
        <v>0.25</v>
      </c>
      <c r="M85" s="15" t="s">
        <v>151</v>
      </c>
      <c r="N85" s="52">
        <v>18428</v>
      </c>
      <c r="O85" s="51">
        <v>0</v>
      </c>
      <c r="P85" s="51">
        <v>0</v>
      </c>
      <c r="Q85" s="51">
        <v>1602.4</v>
      </c>
      <c r="R85" s="51">
        <f t="shared" si="1"/>
        <v>20030.400000000001</v>
      </c>
    </row>
    <row r="86" spans="1:19">
      <c r="M86" s="22" t="s">
        <v>259</v>
      </c>
      <c r="N86" s="23">
        <f>SUM(N7:N85)</f>
        <v>32796886.249999996</v>
      </c>
      <c r="O86" s="24">
        <f>SUM(O7:O85)</f>
        <v>4214105.17</v>
      </c>
      <c r="P86" s="24">
        <f>SUM(P7:P85)</f>
        <v>4925.92</v>
      </c>
      <c r="Q86" s="24">
        <f>SUM(Q7:Q85)</f>
        <v>5678004.330000001</v>
      </c>
      <c r="R86" s="24">
        <f>SUM(R7:R85)</f>
        <v>42693921.670000002</v>
      </c>
      <c r="S86"/>
    </row>
  </sheetData>
  <autoFilter ref="B6:S85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3" fitToHeight="23" orientation="landscape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opLeftCell="A103" workbookViewId="0"/>
  </sheetViews>
  <sheetFormatPr defaultRowHeight="15"/>
  <cols>
    <col min="1" max="1" width="5.42578125" customWidth="1"/>
    <col min="2" max="2" width="22.42578125" bestFit="1" customWidth="1"/>
    <col min="3" max="3" width="12.140625" customWidth="1"/>
    <col min="4" max="4" width="16.140625" hidden="1" customWidth="1"/>
    <col min="5" max="5" width="5.85546875" hidden="1" customWidth="1"/>
    <col min="6" max="6" width="12.7109375" bestFit="1" customWidth="1"/>
    <col min="7" max="7" width="30.85546875" bestFit="1" customWidth="1"/>
    <col min="8" max="8" width="41.1406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5.57031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260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 s="11" customFormat="1">
      <c r="A7" s="32">
        <v>1</v>
      </c>
      <c r="B7" s="33" t="s">
        <v>17</v>
      </c>
      <c r="C7" s="34">
        <v>40191</v>
      </c>
      <c r="D7" s="27">
        <v>41273</v>
      </c>
      <c r="E7" s="15">
        <v>2010</v>
      </c>
      <c r="F7" s="32">
        <v>20234</v>
      </c>
      <c r="G7" s="35" t="s">
        <v>243</v>
      </c>
      <c r="H7" s="35" t="s">
        <v>79</v>
      </c>
      <c r="I7" s="27">
        <v>24</v>
      </c>
      <c r="J7" s="27">
        <v>7029</v>
      </c>
      <c r="K7" s="27">
        <v>84348</v>
      </c>
      <c r="L7" s="37">
        <v>0.25</v>
      </c>
      <c r="M7" s="15" t="s">
        <v>151</v>
      </c>
      <c r="N7" s="38">
        <v>168696</v>
      </c>
      <c r="O7" s="38">
        <v>0</v>
      </c>
      <c r="P7" s="38">
        <v>0</v>
      </c>
      <c r="Q7" s="38">
        <v>21049.29</v>
      </c>
      <c r="R7" s="38">
        <f t="shared" ref="R7:R16" si="0">SUM(N7:Q7)</f>
        <v>189745.29</v>
      </c>
    </row>
    <row r="8" spans="1:19" s="11" customFormat="1">
      <c r="A8" s="32">
        <v>2</v>
      </c>
      <c r="B8" s="44" t="s">
        <v>15</v>
      </c>
      <c r="C8" s="45">
        <v>40191</v>
      </c>
      <c r="D8" s="15">
        <v>41289</v>
      </c>
      <c r="E8" s="15">
        <v>2010</v>
      </c>
      <c r="F8" s="18">
        <v>20240</v>
      </c>
      <c r="G8" s="46" t="s">
        <v>120</v>
      </c>
      <c r="H8" s="53" t="s">
        <v>103</v>
      </c>
      <c r="I8" s="15">
        <v>88.37</v>
      </c>
      <c r="J8" s="15">
        <v>9000</v>
      </c>
      <c r="K8" s="15">
        <v>397665</v>
      </c>
      <c r="L8" s="48">
        <v>0.25</v>
      </c>
      <c r="M8" s="15" t="s">
        <v>153</v>
      </c>
      <c r="N8" s="17">
        <v>795330</v>
      </c>
      <c r="O8" s="40">
        <f>K8</f>
        <v>397665</v>
      </c>
      <c r="P8" s="40">
        <v>0</v>
      </c>
      <c r="Q8" s="40">
        <v>0</v>
      </c>
      <c r="R8" s="40">
        <f t="shared" si="0"/>
        <v>1192995</v>
      </c>
    </row>
    <row r="9" spans="1:19" s="11" customFormat="1">
      <c r="A9" s="32">
        <v>3</v>
      </c>
      <c r="B9" s="44" t="s">
        <v>9</v>
      </c>
      <c r="C9" s="45">
        <v>40191</v>
      </c>
      <c r="D9" s="15">
        <v>41290</v>
      </c>
      <c r="E9" s="15">
        <v>2010</v>
      </c>
      <c r="F9" s="18">
        <v>20241</v>
      </c>
      <c r="G9" s="46" t="s">
        <v>121</v>
      </c>
      <c r="H9" s="46" t="s">
        <v>23</v>
      </c>
      <c r="I9" s="15">
        <v>7.5</v>
      </c>
      <c r="J9" s="15">
        <v>12614</v>
      </c>
      <c r="K9" s="15">
        <v>47302.5</v>
      </c>
      <c r="L9" s="48">
        <v>0.25</v>
      </c>
      <c r="M9" s="15" t="s">
        <v>153</v>
      </c>
      <c r="N9" s="17">
        <v>94605</v>
      </c>
      <c r="O9" s="40"/>
      <c r="P9" s="40">
        <v>0</v>
      </c>
      <c r="Q9" s="40">
        <v>0</v>
      </c>
      <c r="R9" s="40">
        <f t="shared" si="0"/>
        <v>94605</v>
      </c>
    </row>
    <row r="10" spans="1:19" s="11" customFormat="1">
      <c r="A10" s="32">
        <v>4</v>
      </c>
      <c r="B10" s="44" t="s">
        <v>9</v>
      </c>
      <c r="C10" s="45">
        <v>40191</v>
      </c>
      <c r="D10" s="15">
        <v>41291</v>
      </c>
      <c r="E10" s="15">
        <v>2010</v>
      </c>
      <c r="F10" s="18">
        <v>20242</v>
      </c>
      <c r="G10" s="46" t="s">
        <v>121</v>
      </c>
      <c r="H10" s="46" t="s">
        <v>23</v>
      </c>
      <c r="I10" s="15">
        <v>5</v>
      </c>
      <c r="J10" s="15">
        <v>12614</v>
      </c>
      <c r="K10" s="15">
        <v>31535</v>
      </c>
      <c r="L10" s="48">
        <v>0.25</v>
      </c>
      <c r="M10" s="15" t="s">
        <v>153</v>
      </c>
      <c r="N10" s="17">
        <v>63070</v>
      </c>
      <c r="O10" s="40"/>
      <c r="P10" s="40">
        <v>0</v>
      </c>
      <c r="Q10" s="40">
        <v>0</v>
      </c>
      <c r="R10" s="40">
        <f t="shared" si="0"/>
        <v>63070</v>
      </c>
    </row>
    <row r="11" spans="1:19">
      <c r="A11" s="32">
        <v>5</v>
      </c>
      <c r="B11" s="33" t="s">
        <v>56</v>
      </c>
      <c r="C11" s="34">
        <v>40191</v>
      </c>
      <c r="D11" s="27">
        <v>41309</v>
      </c>
      <c r="E11" s="15">
        <v>2010</v>
      </c>
      <c r="F11" s="32">
        <v>20256</v>
      </c>
      <c r="G11" s="35" t="s">
        <v>243</v>
      </c>
      <c r="H11" s="35" t="s">
        <v>54</v>
      </c>
      <c r="I11" s="27">
        <v>160</v>
      </c>
      <c r="J11" s="27">
        <v>5000</v>
      </c>
      <c r="K11" s="27">
        <v>400000</v>
      </c>
      <c r="L11" s="37">
        <v>0.25</v>
      </c>
      <c r="M11" s="15" t="s">
        <v>151</v>
      </c>
      <c r="N11" s="40">
        <v>800000</v>
      </c>
      <c r="O11" s="40">
        <v>0</v>
      </c>
      <c r="P11" s="40">
        <v>0</v>
      </c>
      <c r="Q11" s="40">
        <v>190642.13</v>
      </c>
      <c r="R11" s="40">
        <f t="shared" si="0"/>
        <v>990642.13</v>
      </c>
      <c r="S11"/>
    </row>
    <row r="12" spans="1:19">
      <c r="A12" s="32">
        <v>6</v>
      </c>
      <c r="B12" s="33" t="s">
        <v>15</v>
      </c>
      <c r="C12" s="34">
        <v>40219</v>
      </c>
      <c r="D12" s="27">
        <v>41311</v>
      </c>
      <c r="E12" s="15">
        <v>2010</v>
      </c>
      <c r="F12" s="32">
        <v>20258</v>
      </c>
      <c r="G12" s="35" t="s">
        <v>243</v>
      </c>
      <c r="H12" s="35" t="s">
        <v>79</v>
      </c>
      <c r="I12" s="27">
        <v>266</v>
      </c>
      <c r="J12" s="27">
        <v>1252</v>
      </c>
      <c r="K12" s="27">
        <v>166516</v>
      </c>
      <c r="L12" s="37">
        <v>0.25</v>
      </c>
      <c r="M12" s="15" t="s">
        <v>153</v>
      </c>
      <c r="N12" s="40">
        <v>333032</v>
      </c>
      <c r="O12" s="40">
        <v>166516</v>
      </c>
      <c r="P12" s="40">
        <v>0</v>
      </c>
      <c r="Q12" s="40">
        <v>0</v>
      </c>
      <c r="R12" s="40">
        <f t="shared" si="0"/>
        <v>499548</v>
      </c>
    </row>
    <row r="13" spans="1:19">
      <c r="A13" s="32">
        <v>7</v>
      </c>
      <c r="B13" s="33" t="s">
        <v>15</v>
      </c>
      <c r="C13" s="34">
        <v>40219</v>
      </c>
      <c r="D13" s="27">
        <v>41312</v>
      </c>
      <c r="E13" s="15">
        <v>2010</v>
      </c>
      <c r="F13" s="32">
        <v>20259</v>
      </c>
      <c r="G13" s="35" t="s">
        <v>243</v>
      </c>
      <c r="H13" s="35" t="s">
        <v>79</v>
      </c>
      <c r="I13" s="27">
        <v>805</v>
      </c>
      <c r="J13" s="27">
        <v>1087</v>
      </c>
      <c r="K13" s="27">
        <v>437517.5</v>
      </c>
      <c r="L13" s="37">
        <v>0.25</v>
      </c>
      <c r="M13" s="15" t="s">
        <v>153</v>
      </c>
      <c r="N13" s="40">
        <v>875035</v>
      </c>
      <c r="O13" s="40">
        <v>437517.5</v>
      </c>
      <c r="P13" s="40">
        <v>0</v>
      </c>
      <c r="Q13" s="40">
        <v>0</v>
      </c>
      <c r="R13" s="40">
        <f t="shared" si="0"/>
        <v>1312552.5</v>
      </c>
    </row>
    <row r="14" spans="1:19">
      <c r="A14" s="32">
        <v>8</v>
      </c>
      <c r="B14" s="33" t="s">
        <v>9</v>
      </c>
      <c r="C14" s="34">
        <v>40219</v>
      </c>
      <c r="D14" s="27">
        <v>41315</v>
      </c>
      <c r="E14" s="15">
        <v>2010</v>
      </c>
      <c r="F14" s="32">
        <v>20260</v>
      </c>
      <c r="G14" s="35" t="s">
        <v>243</v>
      </c>
      <c r="H14" s="35" t="s">
        <v>79</v>
      </c>
      <c r="I14" s="27">
        <v>6</v>
      </c>
      <c r="J14" s="27">
        <v>12427</v>
      </c>
      <c r="K14" s="27">
        <v>37281</v>
      </c>
      <c r="L14" s="37">
        <v>0.25</v>
      </c>
      <c r="M14" s="15" t="s">
        <v>150</v>
      </c>
      <c r="N14" s="40">
        <v>74562</v>
      </c>
      <c r="O14" s="40">
        <f>4387.5+4387.5</f>
        <v>8775</v>
      </c>
      <c r="P14" s="40">
        <v>0</v>
      </c>
      <c r="Q14" s="40">
        <v>0</v>
      </c>
      <c r="R14" s="40">
        <f t="shared" si="0"/>
        <v>83337</v>
      </c>
    </row>
    <row r="15" spans="1:19">
      <c r="A15" s="32">
        <v>9</v>
      </c>
      <c r="B15" s="44" t="s">
        <v>9</v>
      </c>
      <c r="C15" s="45">
        <v>40219</v>
      </c>
      <c r="D15" s="15">
        <v>41324</v>
      </c>
      <c r="E15" s="15">
        <v>2010</v>
      </c>
      <c r="F15" s="18">
        <v>20264</v>
      </c>
      <c r="G15" s="46" t="s">
        <v>131</v>
      </c>
      <c r="H15" s="46" t="s">
        <v>14</v>
      </c>
      <c r="I15" s="15">
        <v>1.0329999999999999</v>
      </c>
      <c r="J15" s="15">
        <v>10613</v>
      </c>
      <c r="K15" s="15">
        <v>5481.62</v>
      </c>
      <c r="L15" s="48">
        <v>0.25</v>
      </c>
      <c r="M15" s="15" t="s">
        <v>153</v>
      </c>
      <c r="N15" s="17">
        <v>10963.23</v>
      </c>
      <c r="O15" s="40">
        <v>5481.62</v>
      </c>
      <c r="P15" s="40">
        <v>0</v>
      </c>
      <c r="Q15" s="40">
        <v>0</v>
      </c>
      <c r="R15" s="40">
        <f t="shared" si="0"/>
        <v>16444.849999999999</v>
      </c>
    </row>
    <row r="16" spans="1:19">
      <c r="A16" s="32">
        <v>10</v>
      </c>
      <c r="B16" s="44" t="s">
        <v>19</v>
      </c>
      <c r="C16" s="45">
        <v>40219</v>
      </c>
      <c r="D16" s="15">
        <v>41325</v>
      </c>
      <c r="E16" s="15">
        <v>2010</v>
      </c>
      <c r="F16" s="18">
        <v>20265</v>
      </c>
      <c r="G16" s="46" t="s">
        <v>140</v>
      </c>
      <c r="H16" s="46" t="s">
        <v>23</v>
      </c>
      <c r="I16" s="15">
        <v>49</v>
      </c>
      <c r="J16" s="15">
        <v>15618</v>
      </c>
      <c r="K16" s="15">
        <v>382641</v>
      </c>
      <c r="L16" s="48">
        <v>0.25</v>
      </c>
      <c r="M16" s="15" t="s">
        <v>151</v>
      </c>
      <c r="N16" s="17">
        <v>765282</v>
      </c>
      <c r="O16" s="40">
        <v>0</v>
      </c>
      <c r="P16" s="40">
        <v>0</v>
      </c>
      <c r="Q16" s="40">
        <v>174669.03</v>
      </c>
      <c r="R16" s="40">
        <f t="shared" si="0"/>
        <v>939951.03</v>
      </c>
    </row>
    <row r="17" spans="1:19">
      <c r="A17" s="32">
        <v>11</v>
      </c>
      <c r="B17" s="44" t="s">
        <v>19</v>
      </c>
      <c r="C17" s="45">
        <v>40219</v>
      </c>
      <c r="D17" s="15">
        <v>41326</v>
      </c>
      <c r="E17" s="15">
        <v>2010</v>
      </c>
      <c r="F17" s="18">
        <v>20266</v>
      </c>
      <c r="G17" s="46" t="s">
        <v>140</v>
      </c>
      <c r="H17" s="46" t="s">
        <v>23</v>
      </c>
      <c r="I17" s="15">
        <v>202</v>
      </c>
      <c r="J17" s="15">
        <v>15618</v>
      </c>
      <c r="K17" s="15">
        <v>1577418</v>
      </c>
      <c r="L17" s="48">
        <v>0.25</v>
      </c>
      <c r="M17" s="15" t="s">
        <v>151</v>
      </c>
      <c r="N17" s="17">
        <v>3154836</v>
      </c>
      <c r="O17" s="40">
        <v>0</v>
      </c>
      <c r="P17" s="40">
        <v>0</v>
      </c>
      <c r="Q17" s="40">
        <v>391934.4</v>
      </c>
      <c r="R17" s="40">
        <f t="shared" ref="R17:R80" si="1">SUM(N17:Q17)</f>
        <v>3546770.4</v>
      </c>
    </row>
    <row r="18" spans="1:19">
      <c r="A18" s="32">
        <v>12</v>
      </c>
      <c r="B18" s="44" t="s">
        <v>9</v>
      </c>
      <c r="C18" s="45">
        <v>40219</v>
      </c>
      <c r="D18" s="15">
        <v>41327</v>
      </c>
      <c r="E18" s="15">
        <v>2010</v>
      </c>
      <c r="F18" s="18">
        <v>20267</v>
      </c>
      <c r="G18" s="46" t="s">
        <v>136</v>
      </c>
      <c r="H18" s="46" t="s">
        <v>79</v>
      </c>
      <c r="I18" s="15">
        <v>0.53200000000000003</v>
      </c>
      <c r="J18" s="15">
        <v>12426.99</v>
      </c>
      <c r="K18" s="15">
        <v>37281</v>
      </c>
      <c r="L18" s="48">
        <v>0.25</v>
      </c>
      <c r="M18" s="15" t="s">
        <v>151</v>
      </c>
      <c r="N18" s="17">
        <v>6611.16</v>
      </c>
      <c r="O18" s="40">
        <v>0</v>
      </c>
      <c r="P18" s="40">
        <v>0</v>
      </c>
      <c r="Q18" s="40">
        <v>1175.81</v>
      </c>
      <c r="R18" s="40">
        <f t="shared" si="1"/>
        <v>7786.9699999999993</v>
      </c>
    </row>
    <row r="19" spans="1:19">
      <c r="A19" s="32">
        <v>13</v>
      </c>
      <c r="B19" s="44" t="s">
        <v>9</v>
      </c>
      <c r="C19" s="45">
        <v>40219</v>
      </c>
      <c r="D19" s="15">
        <v>41328</v>
      </c>
      <c r="E19" s="15">
        <v>2010</v>
      </c>
      <c r="F19" s="18">
        <v>20268</v>
      </c>
      <c r="G19" s="46" t="s">
        <v>136</v>
      </c>
      <c r="H19" s="46" t="s">
        <v>79</v>
      </c>
      <c r="I19" s="15">
        <v>5.9459999999999997</v>
      </c>
      <c r="J19" s="15">
        <v>12427</v>
      </c>
      <c r="K19" s="15">
        <v>36945.47</v>
      </c>
      <c r="L19" s="48">
        <v>0.25</v>
      </c>
      <c r="M19" s="15" t="s">
        <v>153</v>
      </c>
      <c r="N19" s="17">
        <v>73890.94</v>
      </c>
      <c r="O19" s="40">
        <v>0</v>
      </c>
      <c r="P19" s="40">
        <v>0</v>
      </c>
      <c r="Q19" s="40">
        <v>0</v>
      </c>
      <c r="R19" s="40">
        <f t="shared" si="1"/>
        <v>73890.94</v>
      </c>
    </row>
    <row r="20" spans="1:19">
      <c r="A20" s="32">
        <v>14</v>
      </c>
      <c r="B20" s="33" t="s">
        <v>9</v>
      </c>
      <c r="C20" s="34">
        <v>40219</v>
      </c>
      <c r="D20" s="27">
        <v>41329</v>
      </c>
      <c r="E20" s="15">
        <v>2010</v>
      </c>
      <c r="F20" s="32">
        <v>20269</v>
      </c>
      <c r="G20" s="35" t="s">
        <v>243</v>
      </c>
      <c r="H20" s="35" t="s">
        <v>23</v>
      </c>
      <c r="I20" s="27">
        <v>55</v>
      </c>
      <c r="J20" s="27">
        <v>15618</v>
      </c>
      <c r="K20" s="27">
        <v>429495</v>
      </c>
      <c r="L20" s="37">
        <v>0.25</v>
      </c>
      <c r="M20" s="15" t="s">
        <v>151</v>
      </c>
      <c r="N20" s="40">
        <v>858990</v>
      </c>
      <c r="O20" s="40">
        <v>0</v>
      </c>
      <c r="P20" s="17">
        <v>0</v>
      </c>
      <c r="Q20" s="17">
        <v>147028.91</v>
      </c>
      <c r="R20" s="40">
        <f t="shared" si="1"/>
        <v>1006018.91</v>
      </c>
      <c r="S20"/>
    </row>
    <row r="21" spans="1:19">
      <c r="A21" s="32">
        <v>15</v>
      </c>
      <c r="B21" s="33" t="s">
        <v>19</v>
      </c>
      <c r="C21" s="34">
        <v>40219</v>
      </c>
      <c r="D21" s="27">
        <v>41330</v>
      </c>
      <c r="E21" s="15">
        <v>2010</v>
      </c>
      <c r="F21" s="32">
        <v>20270</v>
      </c>
      <c r="G21" s="35" t="s">
        <v>243</v>
      </c>
      <c r="H21" s="35" t="s">
        <v>23</v>
      </c>
      <c r="I21" s="27">
        <v>5</v>
      </c>
      <c r="J21" s="27">
        <v>11618</v>
      </c>
      <c r="K21" s="27">
        <v>29045</v>
      </c>
      <c r="L21" s="37">
        <v>0.25</v>
      </c>
      <c r="M21" s="15" t="s">
        <v>151</v>
      </c>
      <c r="N21" s="40">
        <v>58090</v>
      </c>
      <c r="O21" s="40">
        <v>0</v>
      </c>
      <c r="P21" s="40">
        <v>0</v>
      </c>
      <c r="Q21" s="40">
        <v>11227.41</v>
      </c>
      <c r="R21" s="40">
        <f t="shared" si="1"/>
        <v>69317.41</v>
      </c>
      <c r="S21"/>
    </row>
    <row r="22" spans="1:19">
      <c r="A22" s="32">
        <v>16</v>
      </c>
      <c r="B22" s="33" t="s">
        <v>90</v>
      </c>
      <c r="C22" s="34">
        <v>40247</v>
      </c>
      <c r="D22" s="27">
        <v>41341</v>
      </c>
      <c r="E22" s="15">
        <v>2010</v>
      </c>
      <c r="F22" s="32">
        <v>20273</v>
      </c>
      <c r="G22" s="35" t="s">
        <v>243</v>
      </c>
      <c r="H22" s="35" t="s">
        <v>96</v>
      </c>
      <c r="I22" s="27">
        <v>244</v>
      </c>
      <c r="J22" s="36">
        <v>2517</v>
      </c>
      <c r="K22" s="36">
        <v>307074</v>
      </c>
      <c r="L22" s="37">
        <v>0.25</v>
      </c>
      <c r="M22" s="15" t="s">
        <v>153</v>
      </c>
      <c r="N22" s="40">
        <v>614148</v>
      </c>
      <c r="O22" s="40">
        <v>307074</v>
      </c>
      <c r="P22" s="40">
        <v>0</v>
      </c>
      <c r="Q22" s="40">
        <v>0</v>
      </c>
      <c r="R22" s="40">
        <f t="shared" si="1"/>
        <v>921222</v>
      </c>
    </row>
    <row r="23" spans="1:19">
      <c r="A23" s="32">
        <v>17</v>
      </c>
      <c r="B23" s="33" t="s">
        <v>29</v>
      </c>
      <c r="C23" s="34">
        <v>40247</v>
      </c>
      <c r="D23" s="27">
        <v>41342</v>
      </c>
      <c r="E23" s="15">
        <v>2010</v>
      </c>
      <c r="F23" s="32">
        <v>20274</v>
      </c>
      <c r="G23" s="35" t="s">
        <v>243</v>
      </c>
      <c r="H23" s="35" t="s">
        <v>23</v>
      </c>
      <c r="I23" s="27">
        <v>16.64</v>
      </c>
      <c r="J23" s="36">
        <v>18214</v>
      </c>
      <c r="K23" s="36">
        <v>151540.48000000001</v>
      </c>
      <c r="L23" s="37">
        <v>0.25</v>
      </c>
      <c r="M23" s="15" t="s">
        <v>152</v>
      </c>
      <c r="N23" s="40">
        <v>303080.96000000002</v>
      </c>
      <c r="O23" s="40">
        <v>0</v>
      </c>
      <c r="P23" s="40">
        <v>0</v>
      </c>
      <c r="Q23" s="40">
        <v>0</v>
      </c>
      <c r="R23" s="40">
        <f t="shared" si="1"/>
        <v>303080.96000000002</v>
      </c>
      <c r="S23" s="11" t="s">
        <v>238</v>
      </c>
    </row>
    <row r="24" spans="1:19">
      <c r="A24" s="32">
        <v>18</v>
      </c>
      <c r="B24" s="44" t="s">
        <v>15</v>
      </c>
      <c r="C24" s="45">
        <v>40247</v>
      </c>
      <c r="D24" s="15">
        <v>41347</v>
      </c>
      <c r="E24" s="15">
        <v>2010</v>
      </c>
      <c r="F24" s="18">
        <v>20279</v>
      </c>
      <c r="G24" s="46" t="s">
        <v>120</v>
      </c>
      <c r="H24" s="46" t="s">
        <v>14</v>
      </c>
      <c r="I24" s="15">
        <v>14.81</v>
      </c>
      <c r="J24" s="47">
        <v>1850</v>
      </c>
      <c r="K24" s="47">
        <v>13699.25</v>
      </c>
      <c r="L24" s="48">
        <v>0.25</v>
      </c>
      <c r="M24" s="15" t="s">
        <v>151</v>
      </c>
      <c r="N24" s="17">
        <v>27398.5</v>
      </c>
      <c r="O24" s="40"/>
      <c r="P24" s="40">
        <v>0</v>
      </c>
      <c r="Q24" s="40">
        <v>2649.32</v>
      </c>
      <c r="R24" s="40">
        <f t="shared" si="1"/>
        <v>30047.82</v>
      </c>
    </row>
    <row r="25" spans="1:19">
      <c r="A25" s="32">
        <v>19</v>
      </c>
      <c r="B25" s="44" t="s">
        <v>15</v>
      </c>
      <c r="C25" s="45">
        <v>40247</v>
      </c>
      <c r="D25" s="15">
        <v>41350</v>
      </c>
      <c r="E25" s="15">
        <v>2010</v>
      </c>
      <c r="F25" s="18">
        <v>20282</v>
      </c>
      <c r="G25" s="46" t="s">
        <v>123</v>
      </c>
      <c r="H25" s="46" t="s">
        <v>96</v>
      </c>
      <c r="I25" s="15">
        <v>134.863</v>
      </c>
      <c r="J25" s="47">
        <v>6737</v>
      </c>
      <c r="K25" s="47">
        <v>454286.02</v>
      </c>
      <c r="L25" s="48">
        <v>0.25</v>
      </c>
      <c r="M25" s="15" t="s">
        <v>153</v>
      </c>
      <c r="N25" s="17">
        <v>908572.03</v>
      </c>
      <c r="O25" s="40">
        <v>0</v>
      </c>
      <c r="P25" s="40">
        <v>0</v>
      </c>
      <c r="Q25" s="40">
        <v>0</v>
      </c>
      <c r="R25" s="40">
        <f t="shared" si="1"/>
        <v>908572.03</v>
      </c>
    </row>
    <row r="26" spans="1:19">
      <c r="A26" s="32">
        <v>20</v>
      </c>
      <c r="B26" s="44" t="s">
        <v>15</v>
      </c>
      <c r="C26" s="45">
        <v>40247</v>
      </c>
      <c r="D26" s="15">
        <v>41351</v>
      </c>
      <c r="E26" s="15">
        <v>2010</v>
      </c>
      <c r="F26" s="18">
        <v>20283</v>
      </c>
      <c r="G26" s="46" t="s">
        <v>123</v>
      </c>
      <c r="H26" s="46" t="s">
        <v>96</v>
      </c>
      <c r="I26" s="15">
        <v>11.784000000000001</v>
      </c>
      <c r="J26" s="47">
        <v>9519</v>
      </c>
      <c r="K26" s="47">
        <v>56085.95</v>
      </c>
      <c r="L26" s="48">
        <v>0.25</v>
      </c>
      <c r="M26" s="15" t="s">
        <v>151</v>
      </c>
      <c r="N26" s="17">
        <v>112171.9</v>
      </c>
      <c r="O26" s="40">
        <v>0</v>
      </c>
      <c r="P26" s="40">
        <v>0</v>
      </c>
      <c r="Q26" s="40">
        <v>3960.04</v>
      </c>
      <c r="R26" s="40">
        <f t="shared" si="1"/>
        <v>116131.93999999999</v>
      </c>
    </row>
    <row r="27" spans="1:19">
      <c r="A27" s="32">
        <v>21</v>
      </c>
      <c r="B27" s="44" t="s">
        <v>9</v>
      </c>
      <c r="C27" s="45">
        <v>40247</v>
      </c>
      <c r="D27" s="15">
        <v>41352</v>
      </c>
      <c r="E27" s="15">
        <v>2010</v>
      </c>
      <c r="F27" s="18">
        <v>20284</v>
      </c>
      <c r="G27" s="46" t="s">
        <v>132</v>
      </c>
      <c r="H27" s="46" t="s">
        <v>79</v>
      </c>
      <c r="I27" s="15">
        <v>37.399000000000001</v>
      </c>
      <c r="J27" s="47">
        <v>13837</v>
      </c>
      <c r="K27" s="47">
        <v>258744.98</v>
      </c>
      <c r="L27" s="48">
        <v>0.25</v>
      </c>
      <c r="M27" s="15" t="s">
        <v>151</v>
      </c>
      <c r="N27" s="17">
        <v>517489.96</v>
      </c>
      <c r="O27" s="40">
        <v>0</v>
      </c>
      <c r="P27" s="40">
        <v>0</v>
      </c>
      <c r="Q27" s="40">
        <v>136387.10999999999</v>
      </c>
      <c r="R27" s="40">
        <f t="shared" si="1"/>
        <v>653877.07000000007</v>
      </c>
    </row>
    <row r="28" spans="1:19">
      <c r="A28" s="32">
        <v>22</v>
      </c>
      <c r="B28" s="44" t="s">
        <v>9</v>
      </c>
      <c r="C28" s="45">
        <v>40247</v>
      </c>
      <c r="D28" s="15">
        <v>41353</v>
      </c>
      <c r="E28" s="15">
        <v>2010</v>
      </c>
      <c r="F28" s="18">
        <v>20285</v>
      </c>
      <c r="G28" s="46" t="s">
        <v>132</v>
      </c>
      <c r="H28" s="46" t="s">
        <v>96</v>
      </c>
      <c r="I28" s="15">
        <v>7.7960000000000003</v>
      </c>
      <c r="J28" s="47">
        <v>13837</v>
      </c>
      <c r="K28" s="47">
        <v>53936.63</v>
      </c>
      <c r="L28" s="48">
        <v>0.25</v>
      </c>
      <c r="M28" s="15" t="s">
        <v>151</v>
      </c>
      <c r="N28" s="17">
        <v>107873.25</v>
      </c>
      <c r="O28" s="40">
        <v>0</v>
      </c>
      <c r="P28" s="40">
        <v>0</v>
      </c>
      <c r="Q28" s="40">
        <v>0</v>
      </c>
      <c r="R28" s="40">
        <f t="shared" si="1"/>
        <v>107873.25</v>
      </c>
      <c r="S28" s="11" t="s">
        <v>239</v>
      </c>
    </row>
    <row r="29" spans="1:19">
      <c r="A29" s="32">
        <v>23</v>
      </c>
      <c r="B29" s="33" t="s">
        <v>29</v>
      </c>
      <c r="C29" s="34">
        <v>40282</v>
      </c>
      <c r="D29" s="27">
        <v>41355</v>
      </c>
      <c r="E29" s="15">
        <v>2010</v>
      </c>
      <c r="F29" s="32">
        <v>20287</v>
      </c>
      <c r="G29" s="35" t="s">
        <v>243</v>
      </c>
      <c r="H29" s="35" t="s">
        <v>30</v>
      </c>
      <c r="I29" s="27">
        <v>24</v>
      </c>
      <c r="J29" s="36">
        <v>19878</v>
      </c>
      <c r="K29" s="36">
        <v>238536</v>
      </c>
      <c r="L29" s="37">
        <v>0.25</v>
      </c>
      <c r="M29" s="15" t="s">
        <v>151</v>
      </c>
      <c r="N29" s="40">
        <v>477072</v>
      </c>
      <c r="O29" s="40">
        <v>0</v>
      </c>
      <c r="P29" s="17">
        <v>0</v>
      </c>
      <c r="Q29" s="17">
        <v>77135.17</v>
      </c>
      <c r="R29" s="40">
        <f t="shared" si="1"/>
        <v>554207.17000000004</v>
      </c>
    </row>
    <row r="30" spans="1:19">
      <c r="A30" s="32">
        <v>24</v>
      </c>
      <c r="B30" s="44" t="s">
        <v>15</v>
      </c>
      <c r="C30" s="45">
        <v>40282</v>
      </c>
      <c r="D30" s="15">
        <v>41381</v>
      </c>
      <c r="E30" s="15">
        <v>2010</v>
      </c>
      <c r="F30" s="18">
        <v>20300</v>
      </c>
      <c r="G30" s="46" t="s">
        <v>120</v>
      </c>
      <c r="H30" s="46" t="s">
        <v>96</v>
      </c>
      <c r="I30" s="15">
        <v>8.2100000000000009</v>
      </c>
      <c r="J30" s="47">
        <v>6867</v>
      </c>
      <c r="K30" s="47">
        <v>28189.040000000001</v>
      </c>
      <c r="L30" s="48">
        <v>0.25</v>
      </c>
      <c r="M30" s="15" t="s">
        <v>153</v>
      </c>
      <c r="N30" s="17">
        <v>56378.07</v>
      </c>
      <c r="O30" s="54">
        <f>K30</f>
        <v>28189.040000000001</v>
      </c>
      <c r="P30" s="40">
        <v>0</v>
      </c>
      <c r="Q30" s="40">
        <v>0</v>
      </c>
      <c r="R30" s="40">
        <f t="shared" si="1"/>
        <v>84567.11</v>
      </c>
    </row>
    <row r="31" spans="1:19">
      <c r="A31" s="32">
        <v>25</v>
      </c>
      <c r="B31" s="44" t="s">
        <v>15</v>
      </c>
      <c r="C31" s="45">
        <v>40282</v>
      </c>
      <c r="D31" s="15">
        <v>41382</v>
      </c>
      <c r="E31" s="15">
        <v>2010</v>
      </c>
      <c r="F31" s="18">
        <v>20301</v>
      </c>
      <c r="G31" s="46" t="s">
        <v>120</v>
      </c>
      <c r="H31" s="46" t="s">
        <v>96</v>
      </c>
      <c r="I31" s="15">
        <v>67.534000000000006</v>
      </c>
      <c r="J31" s="47">
        <v>6867</v>
      </c>
      <c r="K31" s="47">
        <v>231877.99</v>
      </c>
      <c r="L31" s="48">
        <v>0.25</v>
      </c>
      <c r="M31" s="15" t="s">
        <v>153</v>
      </c>
      <c r="N31" s="17">
        <v>463755.98</v>
      </c>
      <c r="O31" s="54">
        <f>K31</f>
        <v>231877.99</v>
      </c>
      <c r="P31" s="40">
        <v>0</v>
      </c>
      <c r="Q31" s="40">
        <v>0</v>
      </c>
      <c r="R31" s="40">
        <f t="shared" si="1"/>
        <v>695633.97</v>
      </c>
    </row>
    <row r="32" spans="1:19">
      <c r="A32" s="32">
        <v>26</v>
      </c>
      <c r="B32" s="44" t="s">
        <v>15</v>
      </c>
      <c r="C32" s="45">
        <v>40282</v>
      </c>
      <c r="D32" s="15">
        <v>41383</v>
      </c>
      <c r="E32" s="15">
        <v>2010</v>
      </c>
      <c r="F32" s="18">
        <v>20302</v>
      </c>
      <c r="G32" s="46" t="s">
        <v>123</v>
      </c>
      <c r="H32" s="46" t="s">
        <v>96</v>
      </c>
      <c r="I32" s="15">
        <v>87.597999999999999</v>
      </c>
      <c r="J32" s="47">
        <v>9532</v>
      </c>
      <c r="K32" s="47">
        <v>417492.07</v>
      </c>
      <c r="L32" s="48">
        <v>0.25</v>
      </c>
      <c r="M32" s="15" t="s">
        <v>153</v>
      </c>
      <c r="N32" s="17">
        <v>834984.14</v>
      </c>
      <c r="O32" s="40">
        <v>0</v>
      </c>
      <c r="P32" s="40">
        <v>0</v>
      </c>
      <c r="Q32" s="40">
        <v>0</v>
      </c>
      <c r="R32" s="40">
        <f t="shared" si="1"/>
        <v>834984.14</v>
      </c>
    </row>
    <row r="33" spans="1:19">
      <c r="A33" s="32">
        <v>27</v>
      </c>
      <c r="B33" s="44" t="s">
        <v>15</v>
      </c>
      <c r="C33" s="45">
        <v>40282</v>
      </c>
      <c r="D33" s="15">
        <v>41385</v>
      </c>
      <c r="E33" s="15">
        <v>2010</v>
      </c>
      <c r="F33" s="18">
        <v>20303</v>
      </c>
      <c r="G33" s="46" t="s">
        <v>120</v>
      </c>
      <c r="H33" s="46" t="s">
        <v>96</v>
      </c>
      <c r="I33" s="15">
        <v>35.799999999999997</v>
      </c>
      <c r="J33" s="47">
        <v>10389</v>
      </c>
      <c r="K33" s="47">
        <v>185963.1</v>
      </c>
      <c r="L33" s="48">
        <v>0.25</v>
      </c>
      <c r="M33" s="15" t="s">
        <v>151</v>
      </c>
      <c r="N33" s="17">
        <v>371926.2</v>
      </c>
      <c r="O33" s="40"/>
      <c r="P33" s="40">
        <v>0</v>
      </c>
      <c r="Q33" s="40">
        <v>75101.91</v>
      </c>
      <c r="R33" s="40">
        <f t="shared" si="1"/>
        <v>447028.11</v>
      </c>
    </row>
    <row r="34" spans="1:19">
      <c r="A34" s="32">
        <v>28</v>
      </c>
      <c r="B34" s="44" t="s">
        <v>15</v>
      </c>
      <c r="C34" s="45">
        <v>40282</v>
      </c>
      <c r="D34" s="15">
        <v>41386</v>
      </c>
      <c r="E34" s="15">
        <v>2010</v>
      </c>
      <c r="F34" s="18">
        <v>20304</v>
      </c>
      <c r="G34" s="46" t="s">
        <v>120</v>
      </c>
      <c r="H34" s="53" t="s">
        <v>103</v>
      </c>
      <c r="I34" s="15">
        <v>0.28399999999999997</v>
      </c>
      <c r="J34" s="47">
        <v>7272.01</v>
      </c>
      <c r="K34" s="47">
        <v>1032.6300000000001</v>
      </c>
      <c r="L34" s="48">
        <v>0.25</v>
      </c>
      <c r="M34" s="15" t="s">
        <v>153</v>
      </c>
      <c r="N34" s="17">
        <v>2065.25</v>
      </c>
      <c r="O34" s="54">
        <f>K34</f>
        <v>1032.6300000000001</v>
      </c>
      <c r="P34" s="40">
        <v>0</v>
      </c>
      <c r="Q34" s="40">
        <v>0</v>
      </c>
      <c r="R34" s="40">
        <f t="shared" si="1"/>
        <v>3097.88</v>
      </c>
    </row>
    <row r="35" spans="1:19">
      <c r="A35" s="32">
        <v>29</v>
      </c>
      <c r="B35" s="44" t="s">
        <v>15</v>
      </c>
      <c r="C35" s="45">
        <v>40282</v>
      </c>
      <c r="D35" s="15">
        <v>41387</v>
      </c>
      <c r="E35" s="15">
        <v>2010</v>
      </c>
      <c r="F35" s="18">
        <v>20305</v>
      </c>
      <c r="G35" s="46" t="s">
        <v>120</v>
      </c>
      <c r="H35" s="46" t="s">
        <v>96</v>
      </c>
      <c r="I35" s="15">
        <v>17.885000000000002</v>
      </c>
      <c r="J35" s="47">
        <v>7695</v>
      </c>
      <c r="K35" s="47">
        <v>68812.539999999994</v>
      </c>
      <c r="L35" s="48">
        <v>0.25</v>
      </c>
      <c r="M35" s="15" t="s">
        <v>151</v>
      </c>
      <c r="N35" s="17">
        <v>137625.07999999999</v>
      </c>
      <c r="O35" s="40"/>
      <c r="P35" s="40">
        <v>0</v>
      </c>
      <c r="Q35" s="40">
        <v>51578.559999999998</v>
      </c>
      <c r="R35" s="40">
        <f t="shared" si="1"/>
        <v>189203.63999999998</v>
      </c>
    </row>
    <row r="36" spans="1:19">
      <c r="A36" s="32">
        <v>30</v>
      </c>
      <c r="B36" s="44" t="s">
        <v>15</v>
      </c>
      <c r="C36" s="45">
        <v>40282</v>
      </c>
      <c r="D36" s="15">
        <v>41388</v>
      </c>
      <c r="E36" s="15">
        <v>2010</v>
      </c>
      <c r="F36" s="18">
        <v>20306</v>
      </c>
      <c r="G36" s="46" t="s">
        <v>120</v>
      </c>
      <c r="H36" s="46" t="s">
        <v>96</v>
      </c>
      <c r="I36" s="15">
        <v>1.48</v>
      </c>
      <c r="J36" s="47">
        <v>8137</v>
      </c>
      <c r="K36" s="47">
        <v>6021.38</v>
      </c>
      <c r="L36" s="48">
        <v>0.25</v>
      </c>
      <c r="M36" s="15" t="s">
        <v>153</v>
      </c>
      <c r="N36" s="17">
        <v>12042.76</v>
      </c>
      <c r="O36" s="54">
        <f>K36</f>
        <v>6021.38</v>
      </c>
      <c r="P36" s="40">
        <v>0</v>
      </c>
      <c r="Q36" s="40">
        <v>0</v>
      </c>
      <c r="R36" s="40">
        <f t="shared" si="1"/>
        <v>18064.14</v>
      </c>
    </row>
    <row r="37" spans="1:19">
      <c r="A37" s="32">
        <v>31</v>
      </c>
      <c r="B37" s="44" t="s">
        <v>15</v>
      </c>
      <c r="C37" s="45">
        <v>40282</v>
      </c>
      <c r="D37" s="15">
        <v>41389</v>
      </c>
      <c r="E37" s="15">
        <v>2010</v>
      </c>
      <c r="F37" s="18">
        <v>20307</v>
      </c>
      <c r="G37" s="46" t="s">
        <v>120</v>
      </c>
      <c r="H37" s="46" t="s">
        <v>96</v>
      </c>
      <c r="I37" s="15">
        <v>10.97</v>
      </c>
      <c r="J37" s="47">
        <v>8137</v>
      </c>
      <c r="K37" s="47">
        <v>44631.45</v>
      </c>
      <c r="L37" s="48">
        <v>0.25</v>
      </c>
      <c r="M37" s="15" t="s">
        <v>153</v>
      </c>
      <c r="N37" s="17">
        <v>89262.89</v>
      </c>
      <c r="O37" s="54">
        <f>K37</f>
        <v>44631.45</v>
      </c>
      <c r="P37" s="40">
        <v>0</v>
      </c>
      <c r="Q37" s="40">
        <v>0</v>
      </c>
      <c r="R37" s="40">
        <f t="shared" si="1"/>
        <v>133894.34</v>
      </c>
    </row>
    <row r="38" spans="1:19">
      <c r="A38" s="32">
        <v>32</v>
      </c>
      <c r="B38" s="44" t="s">
        <v>15</v>
      </c>
      <c r="C38" s="45">
        <v>40282</v>
      </c>
      <c r="D38" s="15">
        <v>41390</v>
      </c>
      <c r="E38" s="15">
        <v>2010</v>
      </c>
      <c r="F38" s="18">
        <v>20308</v>
      </c>
      <c r="G38" s="46" t="s">
        <v>120</v>
      </c>
      <c r="H38" s="53" t="s">
        <v>103</v>
      </c>
      <c r="I38" s="15">
        <v>7.22</v>
      </c>
      <c r="J38" s="47">
        <v>7272</v>
      </c>
      <c r="K38" s="47">
        <v>26251.919999999998</v>
      </c>
      <c r="L38" s="48">
        <v>0.25</v>
      </c>
      <c r="M38" s="15" t="s">
        <v>151</v>
      </c>
      <c r="N38" s="17">
        <v>52503.839999999997</v>
      </c>
      <c r="O38" s="40"/>
      <c r="P38" s="40">
        <v>0</v>
      </c>
      <c r="Q38" s="40">
        <v>13519.88</v>
      </c>
      <c r="R38" s="40">
        <f t="shared" si="1"/>
        <v>66023.72</v>
      </c>
    </row>
    <row r="39" spans="1:19">
      <c r="A39" s="32">
        <v>33</v>
      </c>
      <c r="B39" s="44" t="s">
        <v>15</v>
      </c>
      <c r="C39" s="45">
        <v>40282</v>
      </c>
      <c r="D39" s="15">
        <v>41391</v>
      </c>
      <c r="E39" s="15">
        <v>2010</v>
      </c>
      <c r="F39" s="18">
        <v>20309</v>
      </c>
      <c r="G39" s="46" t="s">
        <v>120</v>
      </c>
      <c r="H39" s="46" t="s">
        <v>96</v>
      </c>
      <c r="I39" s="15">
        <v>2.23</v>
      </c>
      <c r="J39" s="47">
        <v>8595</v>
      </c>
      <c r="K39" s="47">
        <v>9583.43</v>
      </c>
      <c r="L39" s="48">
        <v>0.25</v>
      </c>
      <c r="M39" s="15" t="s">
        <v>153</v>
      </c>
      <c r="N39" s="17">
        <v>19166.849999999999</v>
      </c>
      <c r="O39" s="40"/>
      <c r="P39" s="40">
        <v>0</v>
      </c>
      <c r="Q39" s="40">
        <v>0</v>
      </c>
      <c r="R39" s="40">
        <f t="shared" si="1"/>
        <v>19166.849999999999</v>
      </c>
    </row>
    <row r="40" spans="1:19">
      <c r="A40" s="32">
        <v>34</v>
      </c>
      <c r="B40" s="44" t="s">
        <v>15</v>
      </c>
      <c r="C40" s="45">
        <v>40282</v>
      </c>
      <c r="D40" s="15">
        <v>41392</v>
      </c>
      <c r="E40" s="15">
        <v>2010</v>
      </c>
      <c r="F40" s="18">
        <v>20310</v>
      </c>
      <c r="G40" s="46" t="s">
        <v>120</v>
      </c>
      <c r="H40" s="53" t="s">
        <v>103</v>
      </c>
      <c r="I40" s="15">
        <v>1.22</v>
      </c>
      <c r="J40" s="47">
        <v>7272</v>
      </c>
      <c r="K40" s="47">
        <v>4435.92</v>
      </c>
      <c r="L40" s="48">
        <v>0.25</v>
      </c>
      <c r="M40" s="15" t="s">
        <v>153</v>
      </c>
      <c r="N40" s="17">
        <v>8871.84</v>
      </c>
      <c r="O40" s="40"/>
      <c r="P40" s="40">
        <v>0</v>
      </c>
      <c r="Q40" s="40">
        <v>0</v>
      </c>
      <c r="R40" s="40">
        <f t="shared" si="1"/>
        <v>8871.84</v>
      </c>
    </row>
    <row r="41" spans="1:19">
      <c r="A41" s="32">
        <v>35</v>
      </c>
      <c r="B41" s="44" t="s">
        <v>15</v>
      </c>
      <c r="C41" s="45">
        <v>40282</v>
      </c>
      <c r="D41" s="15">
        <v>41393</v>
      </c>
      <c r="E41" s="15">
        <v>2010</v>
      </c>
      <c r="F41" s="18">
        <v>20311</v>
      </c>
      <c r="G41" s="46" t="s">
        <v>120</v>
      </c>
      <c r="H41" s="46" t="s">
        <v>96</v>
      </c>
      <c r="I41" s="15">
        <v>1.01</v>
      </c>
      <c r="J41" s="47">
        <v>8595</v>
      </c>
      <c r="K41" s="47">
        <v>4340.4799999999996</v>
      </c>
      <c r="L41" s="48">
        <v>0.25</v>
      </c>
      <c r="M41" s="15" t="s">
        <v>153</v>
      </c>
      <c r="N41" s="17">
        <v>8680.9500000000007</v>
      </c>
      <c r="O41" s="40"/>
      <c r="P41" s="40">
        <v>0</v>
      </c>
      <c r="Q41" s="40">
        <v>0</v>
      </c>
      <c r="R41" s="40">
        <f t="shared" si="1"/>
        <v>8680.9500000000007</v>
      </c>
    </row>
    <row r="42" spans="1:19">
      <c r="A42" s="32">
        <v>36</v>
      </c>
      <c r="B42" s="44" t="s">
        <v>15</v>
      </c>
      <c r="C42" s="45">
        <v>40282</v>
      </c>
      <c r="D42" s="15">
        <v>41394</v>
      </c>
      <c r="E42" s="15">
        <v>2010</v>
      </c>
      <c r="F42" s="18">
        <v>20312</v>
      </c>
      <c r="G42" s="46" t="s">
        <v>120</v>
      </c>
      <c r="H42" s="53" t="s">
        <v>103</v>
      </c>
      <c r="I42" s="15">
        <v>10.38</v>
      </c>
      <c r="J42" s="47">
        <v>7272</v>
      </c>
      <c r="K42" s="47">
        <v>37741.68</v>
      </c>
      <c r="L42" s="48">
        <v>0.25</v>
      </c>
      <c r="M42" s="15" t="s">
        <v>153</v>
      </c>
      <c r="N42" s="17">
        <v>75483.360000000001</v>
      </c>
      <c r="O42" s="40"/>
      <c r="P42" s="40">
        <v>0</v>
      </c>
      <c r="Q42" s="40">
        <v>0</v>
      </c>
      <c r="R42" s="40">
        <f t="shared" si="1"/>
        <v>75483.360000000001</v>
      </c>
    </row>
    <row r="43" spans="1:19">
      <c r="A43" s="32">
        <v>37</v>
      </c>
      <c r="B43" s="44" t="s">
        <v>15</v>
      </c>
      <c r="C43" s="45">
        <v>40282</v>
      </c>
      <c r="D43" s="15">
        <v>41395</v>
      </c>
      <c r="E43" s="15">
        <v>2010</v>
      </c>
      <c r="F43" s="18">
        <v>20313</v>
      </c>
      <c r="G43" s="46" t="s">
        <v>120</v>
      </c>
      <c r="H43" s="46" t="s">
        <v>96</v>
      </c>
      <c r="I43" s="15">
        <v>1.2</v>
      </c>
      <c r="J43" s="47">
        <v>8595</v>
      </c>
      <c r="K43" s="47">
        <v>5157</v>
      </c>
      <c r="L43" s="48">
        <v>0.25</v>
      </c>
      <c r="M43" s="15" t="s">
        <v>153</v>
      </c>
      <c r="N43" s="17">
        <v>10314</v>
      </c>
      <c r="O43" s="40"/>
      <c r="P43" s="40">
        <v>0</v>
      </c>
      <c r="Q43" s="40">
        <v>0</v>
      </c>
      <c r="R43" s="40">
        <f t="shared" si="1"/>
        <v>10314</v>
      </c>
    </row>
    <row r="44" spans="1:19">
      <c r="A44" s="32">
        <v>38</v>
      </c>
      <c r="B44" s="33" t="s">
        <v>90</v>
      </c>
      <c r="C44" s="34">
        <v>40310</v>
      </c>
      <c r="D44" s="27">
        <v>41422</v>
      </c>
      <c r="E44" s="15">
        <v>2010</v>
      </c>
      <c r="F44" s="32">
        <v>20337</v>
      </c>
      <c r="G44" s="35" t="s">
        <v>243</v>
      </c>
      <c r="H44" s="35" t="s">
        <v>96</v>
      </c>
      <c r="I44" s="27">
        <v>131</v>
      </c>
      <c r="J44" s="36">
        <v>2017</v>
      </c>
      <c r="K44" s="36">
        <v>132113.5</v>
      </c>
      <c r="L44" s="37">
        <v>0.25</v>
      </c>
      <c r="M44" s="15" t="s">
        <v>153</v>
      </c>
      <c r="N44" s="40">
        <v>264227</v>
      </c>
      <c r="O44" s="40">
        <v>0</v>
      </c>
      <c r="P44" s="40">
        <v>0</v>
      </c>
      <c r="Q44" s="40">
        <v>0</v>
      </c>
      <c r="R44" s="40">
        <f t="shared" si="1"/>
        <v>264227</v>
      </c>
    </row>
    <row r="45" spans="1:19">
      <c r="A45" s="32">
        <v>39</v>
      </c>
      <c r="B45" s="44" t="s">
        <v>15</v>
      </c>
      <c r="C45" s="45">
        <v>40310</v>
      </c>
      <c r="D45" s="15">
        <v>41458</v>
      </c>
      <c r="E45" s="15">
        <v>2010</v>
      </c>
      <c r="F45" s="18">
        <v>20346</v>
      </c>
      <c r="G45" s="46" t="s">
        <v>120</v>
      </c>
      <c r="H45" s="46" t="s">
        <v>105</v>
      </c>
      <c r="I45" s="15">
        <v>9.4480000000000004</v>
      </c>
      <c r="J45" s="47">
        <v>5157</v>
      </c>
      <c r="K45" s="47">
        <v>24361.67</v>
      </c>
      <c r="L45" s="48">
        <v>0.25</v>
      </c>
      <c r="M45" s="15" t="s">
        <v>151</v>
      </c>
      <c r="N45" s="17">
        <v>48723.34</v>
      </c>
      <c r="O45" s="40"/>
      <c r="P45" s="40">
        <v>0</v>
      </c>
      <c r="Q45" s="40">
        <v>10801.22</v>
      </c>
      <c r="R45" s="40">
        <f t="shared" si="1"/>
        <v>59524.56</v>
      </c>
    </row>
    <row r="46" spans="1:19">
      <c r="A46" s="32">
        <v>40</v>
      </c>
      <c r="B46" s="33" t="s">
        <v>29</v>
      </c>
      <c r="C46" s="34">
        <v>40310</v>
      </c>
      <c r="D46" s="27">
        <v>41479</v>
      </c>
      <c r="E46" s="15">
        <v>2010</v>
      </c>
      <c r="F46" s="32">
        <v>20351</v>
      </c>
      <c r="G46" s="35" t="s">
        <v>243</v>
      </c>
      <c r="H46" s="35" t="s">
        <v>106</v>
      </c>
      <c r="I46" s="27">
        <v>79.930000000000007</v>
      </c>
      <c r="J46" s="36">
        <v>202</v>
      </c>
      <c r="K46" s="36">
        <v>8072.93</v>
      </c>
      <c r="L46" s="37">
        <v>0.23</v>
      </c>
      <c r="M46" s="15" t="s">
        <v>153</v>
      </c>
      <c r="N46" s="40">
        <v>16145.86</v>
      </c>
      <c r="O46" s="40">
        <v>0</v>
      </c>
      <c r="P46" s="40">
        <v>0</v>
      </c>
      <c r="Q46" s="40">
        <v>0</v>
      </c>
      <c r="R46" s="40">
        <f t="shared" si="1"/>
        <v>16145.86</v>
      </c>
      <c r="S46"/>
    </row>
    <row r="47" spans="1:19">
      <c r="A47" s="32">
        <v>41</v>
      </c>
      <c r="B47" s="33" t="s">
        <v>29</v>
      </c>
      <c r="C47" s="34">
        <v>40338</v>
      </c>
      <c r="D47" s="27">
        <v>41481</v>
      </c>
      <c r="E47" s="15">
        <v>2010</v>
      </c>
      <c r="F47" s="32">
        <v>20353</v>
      </c>
      <c r="G47" s="35" t="s">
        <v>243</v>
      </c>
      <c r="H47" s="35" t="s">
        <v>104</v>
      </c>
      <c r="I47" s="27">
        <v>60</v>
      </c>
      <c r="J47" s="36">
        <v>5167</v>
      </c>
      <c r="K47" s="36">
        <v>155010</v>
      </c>
      <c r="L47" s="37">
        <v>0.25</v>
      </c>
      <c r="M47" s="15" t="s">
        <v>153</v>
      </c>
      <c r="N47" s="40">
        <v>310020</v>
      </c>
      <c r="O47" s="40">
        <v>0</v>
      </c>
      <c r="P47" s="40">
        <v>0</v>
      </c>
      <c r="Q47" s="40">
        <v>0</v>
      </c>
      <c r="R47" s="40">
        <f t="shared" si="1"/>
        <v>310020</v>
      </c>
    </row>
    <row r="48" spans="1:19">
      <c r="A48" s="32">
        <v>42</v>
      </c>
      <c r="B48" s="33" t="s">
        <v>29</v>
      </c>
      <c r="C48" s="34">
        <v>40338</v>
      </c>
      <c r="D48" s="27">
        <v>41482</v>
      </c>
      <c r="E48" s="15">
        <v>2010</v>
      </c>
      <c r="F48" s="32">
        <v>20354</v>
      </c>
      <c r="G48" s="35" t="s">
        <v>243</v>
      </c>
      <c r="H48" s="35" t="s">
        <v>54</v>
      </c>
      <c r="I48" s="27">
        <v>11</v>
      </c>
      <c r="J48" s="36">
        <v>5167</v>
      </c>
      <c r="K48" s="36">
        <v>28418.5</v>
      </c>
      <c r="L48" s="37">
        <v>0.25</v>
      </c>
      <c r="M48" s="15" t="s">
        <v>153</v>
      </c>
      <c r="N48" s="40">
        <v>56837</v>
      </c>
      <c r="O48" s="40">
        <v>0</v>
      </c>
      <c r="P48" s="40">
        <v>0</v>
      </c>
      <c r="Q48" s="40">
        <v>0</v>
      </c>
      <c r="R48" s="40">
        <f t="shared" si="1"/>
        <v>56837</v>
      </c>
    </row>
    <row r="49" spans="1:19">
      <c r="A49" s="32">
        <v>43</v>
      </c>
      <c r="B49" s="33" t="s">
        <v>90</v>
      </c>
      <c r="C49" s="34">
        <v>40338</v>
      </c>
      <c r="D49" s="27">
        <v>41485</v>
      </c>
      <c r="E49" s="15">
        <v>2010</v>
      </c>
      <c r="F49" s="32">
        <v>20355</v>
      </c>
      <c r="G49" s="35" t="s">
        <v>243</v>
      </c>
      <c r="H49" s="35" t="s">
        <v>96</v>
      </c>
      <c r="I49" s="27">
        <v>545</v>
      </c>
      <c r="J49" s="36">
        <v>8253</v>
      </c>
      <c r="K49" s="36">
        <v>2248942.5</v>
      </c>
      <c r="L49" s="37">
        <v>0.25</v>
      </c>
      <c r="M49" s="15" t="s">
        <v>153</v>
      </c>
      <c r="N49" s="40">
        <v>4497885</v>
      </c>
      <c r="O49" s="40">
        <v>0</v>
      </c>
      <c r="P49" s="40">
        <v>0</v>
      </c>
      <c r="Q49" s="40">
        <v>0</v>
      </c>
      <c r="R49" s="40">
        <f t="shared" si="1"/>
        <v>4497885</v>
      </c>
    </row>
    <row r="50" spans="1:19">
      <c r="A50" s="32">
        <v>44</v>
      </c>
      <c r="B50" s="39" t="s">
        <v>107</v>
      </c>
      <c r="C50" s="34">
        <v>40338</v>
      </c>
      <c r="D50" s="27">
        <v>41486</v>
      </c>
      <c r="E50" s="15">
        <v>2010</v>
      </c>
      <c r="F50" s="32">
        <v>20356</v>
      </c>
      <c r="G50" s="35" t="s">
        <v>243</v>
      </c>
      <c r="H50" s="35" t="s">
        <v>108</v>
      </c>
      <c r="I50" s="27">
        <v>36</v>
      </c>
      <c r="J50" s="36">
        <v>6246</v>
      </c>
      <c r="K50" s="36">
        <v>112428</v>
      </c>
      <c r="L50" s="37">
        <v>0.25</v>
      </c>
      <c r="M50" s="15" t="s">
        <v>153</v>
      </c>
      <c r="N50" s="40">
        <v>224856</v>
      </c>
      <c r="O50" s="40">
        <v>0</v>
      </c>
      <c r="P50" s="40">
        <v>0</v>
      </c>
      <c r="Q50" s="40">
        <v>0</v>
      </c>
      <c r="R50" s="40">
        <f t="shared" si="1"/>
        <v>224856</v>
      </c>
    </row>
    <row r="51" spans="1:19">
      <c r="A51" s="32">
        <v>45</v>
      </c>
      <c r="B51" s="33" t="s">
        <v>56</v>
      </c>
      <c r="C51" s="34">
        <v>40338</v>
      </c>
      <c r="D51" s="27">
        <v>41489</v>
      </c>
      <c r="E51" s="15">
        <v>2010</v>
      </c>
      <c r="F51" s="32">
        <v>20357</v>
      </c>
      <c r="G51" s="35" t="s">
        <v>243</v>
      </c>
      <c r="H51" s="35" t="s">
        <v>109</v>
      </c>
      <c r="I51" s="27">
        <v>21</v>
      </c>
      <c r="J51" s="36">
        <v>1253</v>
      </c>
      <c r="K51" s="36">
        <v>13156.5</v>
      </c>
      <c r="L51" s="37">
        <v>0.24</v>
      </c>
      <c r="M51" s="15" t="s">
        <v>153</v>
      </c>
      <c r="N51" s="40">
        <v>26313</v>
      </c>
      <c r="O51" s="40">
        <v>0</v>
      </c>
      <c r="P51" s="40">
        <v>0</v>
      </c>
      <c r="Q51" s="40">
        <v>0</v>
      </c>
      <c r="R51" s="40">
        <f t="shared" si="1"/>
        <v>26313</v>
      </c>
    </row>
    <row r="52" spans="1:19">
      <c r="A52" s="32">
        <v>46</v>
      </c>
      <c r="B52" s="44" t="s">
        <v>9</v>
      </c>
      <c r="C52" s="45">
        <v>40338</v>
      </c>
      <c r="D52" s="15">
        <v>41503</v>
      </c>
      <c r="E52" s="15">
        <v>2010</v>
      </c>
      <c r="F52" s="18">
        <v>20364</v>
      </c>
      <c r="G52" s="46" t="s">
        <v>141</v>
      </c>
      <c r="H52" s="46" t="s">
        <v>79</v>
      </c>
      <c r="I52" s="15">
        <v>34</v>
      </c>
      <c r="J52" s="47">
        <v>9917</v>
      </c>
      <c r="K52" s="47">
        <v>168589</v>
      </c>
      <c r="L52" s="48">
        <v>0.25</v>
      </c>
      <c r="M52" s="15" t="s">
        <v>151</v>
      </c>
      <c r="N52" s="17">
        <v>337178</v>
      </c>
      <c r="O52" s="40">
        <v>0</v>
      </c>
      <c r="P52" s="40">
        <v>0</v>
      </c>
      <c r="Q52" s="40">
        <v>0</v>
      </c>
      <c r="R52" s="40">
        <f t="shared" si="1"/>
        <v>337178</v>
      </c>
      <c r="S52" s="20" t="s">
        <v>227</v>
      </c>
    </row>
    <row r="53" spans="1:19">
      <c r="A53" s="32">
        <v>47</v>
      </c>
      <c r="B53" s="44" t="s">
        <v>9</v>
      </c>
      <c r="C53" s="45">
        <v>40338</v>
      </c>
      <c r="D53" s="15">
        <v>41504</v>
      </c>
      <c r="E53" s="15">
        <v>2010</v>
      </c>
      <c r="F53" s="18">
        <v>20365</v>
      </c>
      <c r="G53" s="46" t="s">
        <v>141</v>
      </c>
      <c r="H53" s="46" t="s">
        <v>79</v>
      </c>
      <c r="I53" s="15">
        <v>5.75</v>
      </c>
      <c r="J53" s="47">
        <v>9652</v>
      </c>
      <c r="K53" s="47">
        <v>27749.5</v>
      </c>
      <c r="L53" s="48">
        <v>0.25</v>
      </c>
      <c r="M53" s="15" t="s">
        <v>151</v>
      </c>
      <c r="N53" s="17">
        <v>55499</v>
      </c>
      <c r="O53" s="40">
        <v>0</v>
      </c>
      <c r="P53" s="40">
        <v>0</v>
      </c>
      <c r="Q53" s="40">
        <v>0</v>
      </c>
      <c r="R53" s="40">
        <f t="shared" si="1"/>
        <v>55499</v>
      </c>
      <c r="S53" s="20" t="s">
        <v>227</v>
      </c>
    </row>
    <row r="54" spans="1:19">
      <c r="A54" s="32">
        <v>48</v>
      </c>
      <c r="B54" s="33" t="s">
        <v>15</v>
      </c>
      <c r="C54" s="34">
        <v>40338</v>
      </c>
      <c r="D54" s="27">
        <v>41526</v>
      </c>
      <c r="E54" s="15">
        <v>2010</v>
      </c>
      <c r="F54" s="32">
        <v>20370</v>
      </c>
      <c r="G54" s="35" t="s">
        <v>243</v>
      </c>
      <c r="H54" s="35" t="s">
        <v>108</v>
      </c>
      <c r="I54" s="27">
        <v>8.91</v>
      </c>
      <c r="J54" s="36">
        <v>6246</v>
      </c>
      <c r="K54" s="36">
        <v>27825.93</v>
      </c>
      <c r="L54" s="37">
        <v>0.25</v>
      </c>
      <c r="M54" s="15" t="s">
        <v>153</v>
      </c>
      <c r="N54" s="40">
        <v>55651.86</v>
      </c>
      <c r="O54" s="40">
        <v>0</v>
      </c>
      <c r="P54" s="40">
        <v>0</v>
      </c>
      <c r="Q54" s="40">
        <v>0</v>
      </c>
      <c r="R54" s="40">
        <f t="shared" si="1"/>
        <v>55651.86</v>
      </c>
      <c r="S54"/>
    </row>
    <row r="55" spans="1:19">
      <c r="A55" s="32">
        <v>49</v>
      </c>
      <c r="B55" s="33" t="s">
        <v>15</v>
      </c>
      <c r="C55" s="34">
        <v>40373</v>
      </c>
      <c r="D55" s="27">
        <v>41528</v>
      </c>
      <c r="E55" s="15">
        <v>2010</v>
      </c>
      <c r="F55" s="32">
        <v>20372</v>
      </c>
      <c r="G55" s="35" t="s">
        <v>243</v>
      </c>
      <c r="H55" s="35" t="s">
        <v>110</v>
      </c>
      <c r="I55" s="27">
        <v>133</v>
      </c>
      <c r="J55" s="36">
        <v>260</v>
      </c>
      <c r="K55" s="36">
        <v>17290</v>
      </c>
      <c r="L55" s="37">
        <v>0.22</v>
      </c>
      <c r="M55" s="15" t="s">
        <v>153</v>
      </c>
      <c r="N55" s="40">
        <v>34580</v>
      </c>
      <c r="O55" s="40">
        <v>0</v>
      </c>
      <c r="P55" s="40">
        <v>0</v>
      </c>
      <c r="Q55" s="40">
        <v>0</v>
      </c>
      <c r="R55" s="40">
        <f t="shared" si="1"/>
        <v>34580</v>
      </c>
    </row>
    <row r="56" spans="1:19">
      <c r="A56" s="32">
        <v>50</v>
      </c>
      <c r="B56" s="33" t="s">
        <v>56</v>
      </c>
      <c r="C56" s="34">
        <v>40373</v>
      </c>
      <c r="D56" s="27">
        <v>41530</v>
      </c>
      <c r="E56" s="15">
        <v>2010</v>
      </c>
      <c r="F56" s="32">
        <v>20373</v>
      </c>
      <c r="G56" s="35" t="s">
        <v>243</v>
      </c>
      <c r="H56" s="35" t="s">
        <v>111</v>
      </c>
      <c r="I56" s="27">
        <v>156</v>
      </c>
      <c r="J56" s="36">
        <v>4711</v>
      </c>
      <c r="K56" s="36">
        <v>367458</v>
      </c>
      <c r="L56" s="37">
        <v>0.24</v>
      </c>
      <c r="M56" s="15" t="s">
        <v>153</v>
      </c>
      <c r="N56" s="40">
        <v>734916</v>
      </c>
      <c r="O56" s="40">
        <v>0</v>
      </c>
      <c r="P56" s="40">
        <v>0</v>
      </c>
      <c r="Q56" s="40">
        <v>0</v>
      </c>
      <c r="R56" s="40">
        <f t="shared" si="1"/>
        <v>734916</v>
      </c>
    </row>
    <row r="57" spans="1:19">
      <c r="A57" s="32">
        <v>51</v>
      </c>
      <c r="B57" s="33" t="s">
        <v>38</v>
      </c>
      <c r="C57" s="34">
        <v>40373</v>
      </c>
      <c r="D57" s="27">
        <v>41532</v>
      </c>
      <c r="E57" s="15">
        <v>2010</v>
      </c>
      <c r="F57" s="32">
        <v>20374</v>
      </c>
      <c r="G57" s="35" t="s">
        <v>243</v>
      </c>
      <c r="H57" s="35" t="s">
        <v>13</v>
      </c>
      <c r="I57" s="27">
        <v>35</v>
      </c>
      <c r="J57" s="36">
        <v>50</v>
      </c>
      <c r="K57" s="36">
        <v>875</v>
      </c>
      <c r="L57" s="37">
        <v>0.1875</v>
      </c>
      <c r="M57" s="15" t="s">
        <v>153</v>
      </c>
      <c r="N57" s="40">
        <v>1750</v>
      </c>
      <c r="O57" s="40">
        <v>0</v>
      </c>
      <c r="P57" s="40">
        <v>0</v>
      </c>
      <c r="Q57" s="40">
        <v>0</v>
      </c>
      <c r="R57" s="40">
        <f t="shared" si="1"/>
        <v>1750</v>
      </c>
    </row>
    <row r="58" spans="1:19">
      <c r="A58" s="32">
        <v>52</v>
      </c>
      <c r="B58" s="44" t="s">
        <v>15</v>
      </c>
      <c r="C58" s="45">
        <v>40373</v>
      </c>
      <c r="D58" s="15">
        <v>41539</v>
      </c>
      <c r="E58" s="15">
        <v>2010</v>
      </c>
      <c r="F58" s="18">
        <v>20380</v>
      </c>
      <c r="G58" s="46" t="s">
        <v>120</v>
      </c>
      <c r="H58" s="46" t="s">
        <v>96</v>
      </c>
      <c r="I58" s="15">
        <v>24.57</v>
      </c>
      <c r="J58" s="47">
        <v>7537</v>
      </c>
      <c r="K58" s="47">
        <v>92592.05</v>
      </c>
      <c r="L58" s="48">
        <v>0.25</v>
      </c>
      <c r="M58" s="15" t="s">
        <v>153</v>
      </c>
      <c r="N58" s="17">
        <v>185184.09</v>
      </c>
      <c r="O58" s="40"/>
      <c r="P58" s="40">
        <v>0</v>
      </c>
      <c r="Q58" s="40">
        <v>0</v>
      </c>
      <c r="R58" s="40">
        <f t="shared" si="1"/>
        <v>185184.09</v>
      </c>
    </row>
    <row r="59" spans="1:19">
      <c r="A59" s="32">
        <v>53</v>
      </c>
      <c r="B59" s="44" t="s">
        <v>15</v>
      </c>
      <c r="C59" s="45">
        <v>40373</v>
      </c>
      <c r="D59" s="15">
        <v>41541</v>
      </c>
      <c r="E59" s="15">
        <v>2010</v>
      </c>
      <c r="F59" s="18">
        <v>20381</v>
      </c>
      <c r="G59" s="46" t="s">
        <v>120</v>
      </c>
      <c r="H59" s="46" t="s">
        <v>96</v>
      </c>
      <c r="I59" s="15">
        <v>19.11</v>
      </c>
      <c r="J59" s="47">
        <v>8252</v>
      </c>
      <c r="K59" s="47">
        <v>78847.86</v>
      </c>
      <c r="L59" s="48">
        <v>0.25</v>
      </c>
      <c r="M59" s="15" t="s">
        <v>153</v>
      </c>
      <c r="N59" s="17">
        <v>157695.72</v>
      </c>
      <c r="O59" s="40"/>
      <c r="P59" s="40">
        <v>0</v>
      </c>
      <c r="Q59" s="40">
        <v>0</v>
      </c>
      <c r="R59" s="40">
        <f t="shared" si="1"/>
        <v>157695.72</v>
      </c>
    </row>
    <row r="60" spans="1:19">
      <c r="A60" s="32">
        <v>54</v>
      </c>
      <c r="B60" s="44" t="s">
        <v>15</v>
      </c>
      <c r="C60" s="45">
        <v>40373</v>
      </c>
      <c r="D60" s="15">
        <v>41542</v>
      </c>
      <c r="E60" s="15">
        <v>2010</v>
      </c>
      <c r="F60" s="18">
        <v>20382</v>
      </c>
      <c r="G60" s="46" t="s">
        <v>120</v>
      </c>
      <c r="H60" s="46" t="s">
        <v>96</v>
      </c>
      <c r="I60" s="15">
        <v>85.06</v>
      </c>
      <c r="J60" s="47">
        <v>8252</v>
      </c>
      <c r="K60" s="47">
        <v>350957.56</v>
      </c>
      <c r="L60" s="48">
        <v>0.25</v>
      </c>
      <c r="M60" s="15" t="s">
        <v>151</v>
      </c>
      <c r="N60" s="17">
        <v>701915.12</v>
      </c>
      <c r="O60" s="40"/>
      <c r="P60" s="40">
        <v>0</v>
      </c>
      <c r="Q60" s="40">
        <f>29528.7+30737.49</f>
        <v>60266.19</v>
      </c>
      <c r="R60" s="40">
        <f t="shared" si="1"/>
        <v>762181.31</v>
      </c>
      <c r="S60"/>
    </row>
    <row r="61" spans="1:19">
      <c r="A61" s="32">
        <v>55</v>
      </c>
      <c r="B61" s="44" t="s">
        <v>15</v>
      </c>
      <c r="C61" s="45">
        <v>40373</v>
      </c>
      <c r="D61" s="15">
        <v>41543</v>
      </c>
      <c r="E61" s="15">
        <v>2010</v>
      </c>
      <c r="F61" s="18">
        <v>20383</v>
      </c>
      <c r="G61" s="46" t="s">
        <v>120</v>
      </c>
      <c r="H61" s="46" t="s">
        <v>96</v>
      </c>
      <c r="I61" s="15">
        <v>60.79</v>
      </c>
      <c r="J61" s="47">
        <v>8252</v>
      </c>
      <c r="K61" s="47">
        <v>250819.54</v>
      </c>
      <c r="L61" s="48">
        <v>0.25</v>
      </c>
      <c r="M61" s="15" t="s">
        <v>153</v>
      </c>
      <c r="N61" s="17">
        <v>501639.08</v>
      </c>
      <c r="O61" s="40"/>
      <c r="P61" s="40">
        <v>0</v>
      </c>
      <c r="Q61" s="40">
        <v>0</v>
      </c>
      <c r="R61" s="40">
        <f t="shared" si="1"/>
        <v>501639.08</v>
      </c>
      <c r="S61"/>
    </row>
    <row r="62" spans="1:19">
      <c r="A62" s="32">
        <v>56</v>
      </c>
      <c r="B62" s="44" t="s">
        <v>15</v>
      </c>
      <c r="C62" s="45">
        <v>40373</v>
      </c>
      <c r="D62" s="15">
        <v>41544</v>
      </c>
      <c r="E62" s="15">
        <v>2010</v>
      </c>
      <c r="F62" s="18">
        <v>20384</v>
      </c>
      <c r="G62" s="46" t="s">
        <v>120</v>
      </c>
      <c r="H62" s="46" t="s">
        <v>96</v>
      </c>
      <c r="I62" s="15">
        <v>17.48</v>
      </c>
      <c r="J62" s="47">
        <v>8252</v>
      </c>
      <c r="K62" s="47">
        <v>72122.48</v>
      </c>
      <c r="L62" s="48">
        <v>0.25</v>
      </c>
      <c r="M62" s="15" t="s">
        <v>151</v>
      </c>
      <c r="N62" s="17">
        <v>144244.96</v>
      </c>
      <c r="O62" s="40"/>
      <c r="P62" s="40">
        <v>0</v>
      </c>
      <c r="Q62" s="40">
        <v>23660.91</v>
      </c>
      <c r="R62" s="40">
        <f t="shared" si="1"/>
        <v>167905.87</v>
      </c>
      <c r="S62"/>
    </row>
    <row r="63" spans="1:19">
      <c r="A63" s="32">
        <v>57</v>
      </c>
      <c r="B63" s="44" t="s">
        <v>15</v>
      </c>
      <c r="C63" s="45">
        <v>40373</v>
      </c>
      <c r="D63" s="15">
        <v>41545</v>
      </c>
      <c r="E63" s="15">
        <v>2010</v>
      </c>
      <c r="F63" s="18">
        <v>20385</v>
      </c>
      <c r="G63" s="46" t="s">
        <v>120</v>
      </c>
      <c r="H63" s="46" t="s">
        <v>96</v>
      </c>
      <c r="I63" s="15">
        <v>61.85</v>
      </c>
      <c r="J63" s="47">
        <v>8252</v>
      </c>
      <c r="K63" s="47">
        <v>255193.1</v>
      </c>
      <c r="L63" s="48">
        <v>0.25</v>
      </c>
      <c r="M63" s="15" t="s">
        <v>153</v>
      </c>
      <c r="N63" s="17">
        <v>510386.2</v>
      </c>
      <c r="O63" s="40"/>
      <c r="P63" s="40">
        <v>0</v>
      </c>
      <c r="Q63" s="40">
        <v>0</v>
      </c>
      <c r="R63" s="40">
        <f t="shared" si="1"/>
        <v>510386.2</v>
      </c>
      <c r="S63"/>
    </row>
    <row r="64" spans="1:19">
      <c r="A64" s="32">
        <v>58</v>
      </c>
      <c r="B64" s="44" t="s">
        <v>17</v>
      </c>
      <c r="C64" s="45">
        <v>40373</v>
      </c>
      <c r="D64" s="15">
        <v>41546</v>
      </c>
      <c r="E64" s="15">
        <v>2010</v>
      </c>
      <c r="F64" s="18">
        <v>20386</v>
      </c>
      <c r="G64" s="46" t="s">
        <v>130</v>
      </c>
      <c r="H64" s="46" t="s">
        <v>112</v>
      </c>
      <c r="I64" s="15">
        <v>30</v>
      </c>
      <c r="J64" s="47">
        <v>11926.36</v>
      </c>
      <c r="K64" s="47">
        <v>178895.4</v>
      </c>
      <c r="L64" s="48">
        <v>0.25</v>
      </c>
      <c r="M64" s="15" t="s">
        <v>151</v>
      </c>
      <c r="N64" s="17">
        <v>357790.8</v>
      </c>
      <c r="O64" s="40">
        <v>0</v>
      </c>
      <c r="P64" s="40">
        <v>357790.8</v>
      </c>
      <c r="Q64" s="40">
        <v>0</v>
      </c>
      <c r="R64" s="40">
        <f t="shared" si="1"/>
        <v>715581.6</v>
      </c>
      <c r="S64"/>
    </row>
    <row r="65" spans="1:19">
      <c r="A65" s="32">
        <v>59</v>
      </c>
      <c r="B65" s="44" t="s">
        <v>17</v>
      </c>
      <c r="C65" s="45">
        <v>40373</v>
      </c>
      <c r="D65" s="15">
        <v>41547</v>
      </c>
      <c r="E65" s="15">
        <v>2010</v>
      </c>
      <c r="F65" s="18">
        <v>20387</v>
      </c>
      <c r="G65" s="46" t="s">
        <v>130</v>
      </c>
      <c r="H65" s="46" t="s">
        <v>112</v>
      </c>
      <c r="I65" s="15">
        <v>11.6</v>
      </c>
      <c r="J65" s="47">
        <v>11926.36</v>
      </c>
      <c r="K65" s="47">
        <v>69172.89</v>
      </c>
      <c r="L65" s="48">
        <v>0.25</v>
      </c>
      <c r="M65" s="15" t="s">
        <v>244</v>
      </c>
      <c r="N65" s="17">
        <v>138345.78</v>
      </c>
      <c r="O65" s="40"/>
      <c r="P65" s="40"/>
      <c r="Q65" s="40"/>
      <c r="R65" s="40">
        <f t="shared" si="1"/>
        <v>138345.78</v>
      </c>
      <c r="S65"/>
    </row>
    <row r="66" spans="1:19">
      <c r="A66" s="32">
        <v>60</v>
      </c>
      <c r="B66" s="44" t="s">
        <v>17</v>
      </c>
      <c r="C66" s="45">
        <v>40373</v>
      </c>
      <c r="D66" s="15">
        <v>41548</v>
      </c>
      <c r="E66" s="15">
        <v>2010</v>
      </c>
      <c r="F66" s="18">
        <v>20388</v>
      </c>
      <c r="G66" s="46" t="s">
        <v>142</v>
      </c>
      <c r="H66" s="46" t="s">
        <v>112</v>
      </c>
      <c r="I66" s="15">
        <v>84.14</v>
      </c>
      <c r="J66" s="47">
        <v>9199.09</v>
      </c>
      <c r="K66" s="47">
        <v>387005.72</v>
      </c>
      <c r="L66" s="48">
        <v>0.25</v>
      </c>
      <c r="M66" s="15" t="s">
        <v>153</v>
      </c>
      <c r="N66" s="17">
        <v>774011.43</v>
      </c>
      <c r="O66" s="40">
        <v>0</v>
      </c>
      <c r="P66" s="40">
        <v>0</v>
      </c>
      <c r="Q66" s="40">
        <v>0</v>
      </c>
      <c r="R66" s="40">
        <f t="shared" si="1"/>
        <v>774011.43</v>
      </c>
      <c r="S66"/>
    </row>
    <row r="67" spans="1:19">
      <c r="A67" s="32">
        <v>61</v>
      </c>
      <c r="B67" s="33" t="s">
        <v>19</v>
      </c>
      <c r="C67" s="34">
        <v>40401</v>
      </c>
      <c r="D67" s="27">
        <v>41568</v>
      </c>
      <c r="E67" s="15">
        <v>2010</v>
      </c>
      <c r="F67" s="32">
        <v>20403</v>
      </c>
      <c r="G67" s="35" t="s">
        <v>243</v>
      </c>
      <c r="H67" s="35" t="s">
        <v>105</v>
      </c>
      <c r="I67" s="27">
        <v>3.12</v>
      </c>
      <c r="J67" s="36">
        <v>5182</v>
      </c>
      <c r="K67" s="36">
        <v>8083.92</v>
      </c>
      <c r="L67" s="37">
        <v>0.25</v>
      </c>
      <c r="M67" s="15" t="s">
        <v>153</v>
      </c>
      <c r="N67" s="40">
        <v>16167.84</v>
      </c>
      <c r="O67" s="40">
        <v>0</v>
      </c>
      <c r="P67" s="40">
        <v>0</v>
      </c>
      <c r="Q67" s="40">
        <v>0</v>
      </c>
      <c r="R67" s="40">
        <f t="shared" si="1"/>
        <v>16167.84</v>
      </c>
    </row>
    <row r="68" spans="1:19">
      <c r="A68" s="32">
        <v>62</v>
      </c>
      <c r="B68" s="33" t="s">
        <v>94</v>
      </c>
      <c r="C68" s="34">
        <v>40401</v>
      </c>
      <c r="D68" s="27">
        <v>41569</v>
      </c>
      <c r="E68" s="15">
        <v>2010</v>
      </c>
      <c r="F68" s="32">
        <v>20404</v>
      </c>
      <c r="G68" s="35" t="s">
        <v>243</v>
      </c>
      <c r="H68" s="35" t="s">
        <v>105</v>
      </c>
      <c r="I68" s="27">
        <v>173</v>
      </c>
      <c r="J68" s="36">
        <v>3536</v>
      </c>
      <c r="K68" s="36">
        <v>305864</v>
      </c>
      <c r="L68" s="37">
        <v>0.25</v>
      </c>
      <c r="M68" s="15" t="s">
        <v>153</v>
      </c>
      <c r="N68" s="40">
        <v>611728</v>
      </c>
      <c r="O68" s="40">
        <v>0</v>
      </c>
      <c r="P68" s="40">
        <v>0</v>
      </c>
      <c r="Q68" s="40">
        <v>0</v>
      </c>
      <c r="R68" s="40">
        <f t="shared" si="1"/>
        <v>611728</v>
      </c>
    </row>
    <row r="69" spans="1:19">
      <c r="A69" s="32">
        <v>63</v>
      </c>
      <c r="B69" s="33" t="s">
        <v>94</v>
      </c>
      <c r="C69" s="34">
        <v>40401</v>
      </c>
      <c r="D69" s="27">
        <v>41570</v>
      </c>
      <c r="E69" s="15">
        <v>2010</v>
      </c>
      <c r="F69" s="32">
        <v>20405</v>
      </c>
      <c r="G69" s="35" t="s">
        <v>243</v>
      </c>
      <c r="H69" s="35" t="s">
        <v>105</v>
      </c>
      <c r="I69" s="27">
        <v>261</v>
      </c>
      <c r="J69" s="36">
        <v>3536</v>
      </c>
      <c r="K69" s="36">
        <v>461448</v>
      </c>
      <c r="L69" s="37">
        <v>0.25</v>
      </c>
      <c r="M69" s="15" t="s">
        <v>153</v>
      </c>
      <c r="N69" s="40">
        <v>922896</v>
      </c>
      <c r="O69" s="40">
        <v>0</v>
      </c>
      <c r="P69" s="40">
        <v>0</v>
      </c>
      <c r="Q69" s="40">
        <v>0</v>
      </c>
      <c r="R69" s="40">
        <f t="shared" si="1"/>
        <v>922896</v>
      </c>
      <c r="S69"/>
    </row>
    <row r="70" spans="1:19">
      <c r="A70" s="32">
        <v>64</v>
      </c>
      <c r="B70" s="33" t="s">
        <v>56</v>
      </c>
      <c r="C70" s="34">
        <v>40401</v>
      </c>
      <c r="D70" s="27">
        <v>41571</v>
      </c>
      <c r="E70" s="15">
        <v>2010</v>
      </c>
      <c r="F70" s="32">
        <v>20406</v>
      </c>
      <c r="G70" s="35" t="s">
        <v>243</v>
      </c>
      <c r="H70" s="35" t="s">
        <v>113</v>
      </c>
      <c r="I70" s="27">
        <v>15</v>
      </c>
      <c r="J70" s="36">
        <v>6000</v>
      </c>
      <c r="K70" s="36">
        <v>45000</v>
      </c>
      <c r="L70" s="37">
        <v>0.25</v>
      </c>
      <c r="M70" s="15" t="s">
        <v>153</v>
      </c>
      <c r="N70" s="40">
        <v>90000</v>
      </c>
      <c r="O70" s="40">
        <v>0</v>
      </c>
      <c r="P70" s="40">
        <v>0</v>
      </c>
      <c r="Q70" s="40">
        <v>0</v>
      </c>
      <c r="R70" s="40">
        <f t="shared" si="1"/>
        <v>90000</v>
      </c>
      <c r="S70"/>
    </row>
    <row r="71" spans="1:19">
      <c r="A71" s="32">
        <v>65</v>
      </c>
      <c r="B71" s="33" t="s">
        <v>56</v>
      </c>
      <c r="C71" s="34">
        <v>40401</v>
      </c>
      <c r="D71" s="27">
        <v>41572</v>
      </c>
      <c r="E71" s="15">
        <v>2010</v>
      </c>
      <c r="F71" s="32">
        <v>20407</v>
      </c>
      <c r="G71" s="35" t="s">
        <v>243</v>
      </c>
      <c r="H71" s="35" t="s">
        <v>113</v>
      </c>
      <c r="I71" s="27">
        <v>10</v>
      </c>
      <c r="J71" s="36">
        <v>6000</v>
      </c>
      <c r="K71" s="36">
        <v>30000</v>
      </c>
      <c r="L71" s="37">
        <v>0.25</v>
      </c>
      <c r="M71" s="15" t="s">
        <v>153</v>
      </c>
      <c r="N71" s="40">
        <v>60000</v>
      </c>
      <c r="O71" s="40">
        <v>0</v>
      </c>
      <c r="P71" s="40">
        <v>0</v>
      </c>
      <c r="Q71" s="40">
        <v>0</v>
      </c>
      <c r="R71" s="40">
        <f t="shared" si="1"/>
        <v>60000</v>
      </c>
      <c r="S71"/>
    </row>
    <row r="72" spans="1:19">
      <c r="A72" s="32">
        <v>66</v>
      </c>
      <c r="B72" s="33" t="s">
        <v>56</v>
      </c>
      <c r="C72" s="34">
        <v>40401</v>
      </c>
      <c r="D72" s="27">
        <v>41573</v>
      </c>
      <c r="E72" s="15">
        <v>2010</v>
      </c>
      <c r="F72" s="32">
        <v>20408</v>
      </c>
      <c r="G72" s="35" t="s">
        <v>243</v>
      </c>
      <c r="H72" s="35" t="s">
        <v>113</v>
      </c>
      <c r="I72" s="27">
        <v>12</v>
      </c>
      <c r="J72" s="36">
        <v>6000</v>
      </c>
      <c r="K72" s="36">
        <v>36000</v>
      </c>
      <c r="L72" s="37">
        <v>0.25</v>
      </c>
      <c r="M72" s="15" t="s">
        <v>153</v>
      </c>
      <c r="N72" s="40">
        <v>72000</v>
      </c>
      <c r="O72" s="40">
        <v>0</v>
      </c>
      <c r="P72" s="40">
        <v>0</v>
      </c>
      <c r="Q72" s="40">
        <v>0</v>
      </c>
      <c r="R72" s="40">
        <f t="shared" si="1"/>
        <v>72000</v>
      </c>
      <c r="S72"/>
    </row>
    <row r="73" spans="1:19">
      <c r="A73" s="32">
        <v>67</v>
      </c>
      <c r="B73" s="44" t="s">
        <v>15</v>
      </c>
      <c r="C73" s="45">
        <v>40401</v>
      </c>
      <c r="D73" s="15">
        <v>41588</v>
      </c>
      <c r="E73" s="15">
        <v>2010</v>
      </c>
      <c r="F73" s="18">
        <v>20419</v>
      </c>
      <c r="G73" s="46" t="s">
        <v>123</v>
      </c>
      <c r="H73" s="46" t="s">
        <v>79</v>
      </c>
      <c r="I73" s="15">
        <v>26.355</v>
      </c>
      <c r="J73" s="47">
        <v>5732</v>
      </c>
      <c r="K73" s="47">
        <v>75533.429999999993</v>
      </c>
      <c r="L73" s="48">
        <v>0.25</v>
      </c>
      <c r="M73" s="15" t="s">
        <v>153</v>
      </c>
      <c r="N73" s="17">
        <v>151066.85999999999</v>
      </c>
      <c r="O73" s="40">
        <v>0</v>
      </c>
      <c r="P73" s="40">
        <v>0</v>
      </c>
      <c r="Q73" s="40">
        <v>0</v>
      </c>
      <c r="R73" s="40">
        <f t="shared" si="1"/>
        <v>151066.85999999999</v>
      </c>
      <c r="S73"/>
    </row>
    <row r="74" spans="1:19">
      <c r="A74" s="32">
        <v>68</v>
      </c>
      <c r="B74" s="44" t="s">
        <v>9</v>
      </c>
      <c r="C74" s="45">
        <v>40401</v>
      </c>
      <c r="D74" s="15">
        <v>41591</v>
      </c>
      <c r="E74" s="15">
        <v>2010</v>
      </c>
      <c r="F74" s="18">
        <v>20420</v>
      </c>
      <c r="G74" s="46" t="s">
        <v>143</v>
      </c>
      <c r="H74" s="46" t="s">
        <v>79</v>
      </c>
      <c r="I74" s="15">
        <v>25.63</v>
      </c>
      <c r="J74" s="47">
        <v>13850</v>
      </c>
      <c r="K74" s="47">
        <v>177487.75</v>
      </c>
      <c r="L74" s="48">
        <v>0.25</v>
      </c>
      <c r="M74" s="15" t="s">
        <v>153</v>
      </c>
      <c r="N74" s="17">
        <v>354975.5</v>
      </c>
      <c r="O74" s="40">
        <v>0</v>
      </c>
      <c r="P74" s="40">
        <v>0</v>
      </c>
      <c r="Q74" s="40">
        <v>0</v>
      </c>
      <c r="R74" s="40">
        <f t="shared" si="1"/>
        <v>354975.5</v>
      </c>
      <c r="S74"/>
    </row>
    <row r="75" spans="1:19">
      <c r="A75" s="32">
        <v>69</v>
      </c>
      <c r="B75" s="44" t="s">
        <v>9</v>
      </c>
      <c r="C75" s="45">
        <v>40401</v>
      </c>
      <c r="D75" s="15">
        <v>41592</v>
      </c>
      <c r="E75" s="15">
        <v>2010</v>
      </c>
      <c r="F75" s="18">
        <v>20421</v>
      </c>
      <c r="G75" s="46" t="s">
        <v>121</v>
      </c>
      <c r="H75" s="46" t="s">
        <v>74</v>
      </c>
      <c r="I75" s="15">
        <v>55.975000000000001</v>
      </c>
      <c r="J75" s="47">
        <v>1500</v>
      </c>
      <c r="K75" s="47">
        <v>41981.25</v>
      </c>
      <c r="L75" s="48">
        <v>0.25</v>
      </c>
      <c r="M75" s="15" t="s">
        <v>153</v>
      </c>
      <c r="N75" s="17">
        <v>83962.5</v>
      </c>
      <c r="O75" s="40"/>
      <c r="P75" s="40">
        <v>0</v>
      </c>
      <c r="Q75" s="40">
        <v>0</v>
      </c>
      <c r="R75" s="40">
        <f t="shared" si="1"/>
        <v>83962.5</v>
      </c>
      <c r="S75"/>
    </row>
    <row r="76" spans="1:19">
      <c r="A76" s="32">
        <v>70</v>
      </c>
      <c r="B76" s="44" t="s">
        <v>56</v>
      </c>
      <c r="C76" s="45">
        <v>40401</v>
      </c>
      <c r="D76" s="15">
        <v>41594</v>
      </c>
      <c r="E76" s="15">
        <v>2010</v>
      </c>
      <c r="F76" s="18">
        <v>20422</v>
      </c>
      <c r="G76" s="46" t="s">
        <v>144</v>
      </c>
      <c r="H76" s="46" t="s">
        <v>113</v>
      </c>
      <c r="I76" s="15">
        <v>3.5</v>
      </c>
      <c r="J76" s="47">
        <v>6000</v>
      </c>
      <c r="K76" s="47">
        <v>10500</v>
      </c>
      <c r="L76" s="48">
        <v>0.25</v>
      </c>
      <c r="M76" s="15" t="s">
        <v>153</v>
      </c>
      <c r="N76" s="17">
        <v>21000</v>
      </c>
      <c r="O76" s="40">
        <v>0</v>
      </c>
      <c r="P76" s="40">
        <v>0</v>
      </c>
      <c r="Q76" s="40">
        <v>0</v>
      </c>
      <c r="R76" s="40">
        <f t="shared" si="1"/>
        <v>21000</v>
      </c>
      <c r="S76"/>
    </row>
    <row r="77" spans="1:19">
      <c r="A77" s="32">
        <v>71</v>
      </c>
      <c r="B77" s="33" t="s">
        <v>36</v>
      </c>
      <c r="C77" s="34">
        <v>40429</v>
      </c>
      <c r="D77" s="27">
        <v>41597</v>
      </c>
      <c r="E77" s="15">
        <v>2010</v>
      </c>
      <c r="F77" s="32">
        <v>20424</v>
      </c>
      <c r="G77" s="35" t="s">
        <v>243</v>
      </c>
      <c r="H77" s="35" t="s">
        <v>105</v>
      </c>
      <c r="I77" s="27">
        <v>20</v>
      </c>
      <c r="J77" s="36">
        <v>5187</v>
      </c>
      <c r="K77" s="36">
        <v>51870</v>
      </c>
      <c r="L77" s="37">
        <v>0.25</v>
      </c>
      <c r="M77" s="15" t="s">
        <v>153</v>
      </c>
      <c r="N77" s="40">
        <v>103740</v>
      </c>
      <c r="O77" s="40">
        <v>0</v>
      </c>
      <c r="P77" s="40">
        <v>0</v>
      </c>
      <c r="Q77" s="40">
        <v>0</v>
      </c>
      <c r="R77" s="40">
        <f t="shared" si="1"/>
        <v>103740</v>
      </c>
      <c r="S77"/>
    </row>
    <row r="78" spans="1:19">
      <c r="A78" s="32">
        <v>72</v>
      </c>
      <c r="B78" s="33" t="s">
        <v>94</v>
      </c>
      <c r="C78" s="34">
        <v>40429</v>
      </c>
      <c r="D78" s="27">
        <v>41598</v>
      </c>
      <c r="E78" s="15">
        <v>2010</v>
      </c>
      <c r="F78" s="32">
        <v>20425</v>
      </c>
      <c r="G78" s="35" t="s">
        <v>243</v>
      </c>
      <c r="H78" s="35" t="s">
        <v>105</v>
      </c>
      <c r="I78" s="27">
        <v>20</v>
      </c>
      <c r="J78" s="36">
        <v>5187</v>
      </c>
      <c r="K78" s="36">
        <v>51870</v>
      </c>
      <c r="L78" s="37">
        <v>0.25</v>
      </c>
      <c r="M78" s="15" t="s">
        <v>153</v>
      </c>
      <c r="N78" s="40">
        <v>103740</v>
      </c>
      <c r="O78" s="40">
        <v>0</v>
      </c>
      <c r="P78" s="40">
        <v>0</v>
      </c>
      <c r="Q78" s="40">
        <v>0</v>
      </c>
      <c r="R78" s="40">
        <f t="shared" si="1"/>
        <v>103740</v>
      </c>
      <c r="S78"/>
    </row>
    <row r="79" spans="1:19">
      <c r="A79" s="32">
        <v>73</v>
      </c>
      <c r="B79" s="44" t="s">
        <v>15</v>
      </c>
      <c r="C79" s="45">
        <v>40429</v>
      </c>
      <c r="D79" s="15">
        <v>41630</v>
      </c>
      <c r="E79" s="15">
        <v>2010</v>
      </c>
      <c r="F79" s="18">
        <v>20439</v>
      </c>
      <c r="G79" s="46" t="s">
        <v>127</v>
      </c>
      <c r="H79" s="46" t="s">
        <v>114</v>
      </c>
      <c r="I79" s="15">
        <v>15.457000000000001</v>
      </c>
      <c r="J79" s="47">
        <v>6087</v>
      </c>
      <c r="K79" s="47">
        <v>47043.38</v>
      </c>
      <c r="L79" s="48">
        <v>0.25</v>
      </c>
      <c r="M79" s="15" t="s">
        <v>153</v>
      </c>
      <c r="N79" s="17">
        <v>94086.76</v>
      </c>
      <c r="O79" s="40">
        <v>0</v>
      </c>
      <c r="P79" s="40">
        <v>0</v>
      </c>
      <c r="Q79" s="40">
        <v>0</v>
      </c>
      <c r="R79" s="40">
        <f t="shared" si="1"/>
        <v>94086.76</v>
      </c>
      <c r="S79"/>
    </row>
    <row r="80" spans="1:19">
      <c r="A80" s="32">
        <v>74</v>
      </c>
      <c r="B80" s="44" t="s">
        <v>9</v>
      </c>
      <c r="C80" s="45">
        <v>40429</v>
      </c>
      <c r="D80" s="15">
        <v>41631</v>
      </c>
      <c r="E80" s="15">
        <v>2010</v>
      </c>
      <c r="F80" s="18">
        <v>20440</v>
      </c>
      <c r="G80" s="46" t="s">
        <v>136</v>
      </c>
      <c r="H80" s="46" t="s">
        <v>114</v>
      </c>
      <c r="I80" s="15">
        <v>1.3089999999999999</v>
      </c>
      <c r="J80" s="47">
        <v>7503</v>
      </c>
      <c r="K80" s="47">
        <v>4910.72</v>
      </c>
      <c r="L80" s="48">
        <v>0.25</v>
      </c>
      <c r="M80" s="15" t="s">
        <v>153</v>
      </c>
      <c r="N80" s="17">
        <v>9821.43</v>
      </c>
      <c r="O80" s="40">
        <v>0</v>
      </c>
      <c r="P80" s="40">
        <v>0</v>
      </c>
      <c r="Q80" s="40">
        <v>0</v>
      </c>
      <c r="R80" s="40">
        <f t="shared" si="1"/>
        <v>9821.43</v>
      </c>
      <c r="S80"/>
    </row>
    <row r="81" spans="1:19">
      <c r="A81" s="32">
        <v>75</v>
      </c>
      <c r="B81" s="33" t="s">
        <v>56</v>
      </c>
      <c r="C81" s="34">
        <v>40429</v>
      </c>
      <c r="D81" s="27">
        <v>41637</v>
      </c>
      <c r="E81" s="15">
        <v>2010</v>
      </c>
      <c r="F81" s="32">
        <v>20442</v>
      </c>
      <c r="G81" s="35" t="s">
        <v>243</v>
      </c>
      <c r="H81" s="35" t="s">
        <v>114</v>
      </c>
      <c r="I81" s="27">
        <v>40</v>
      </c>
      <c r="J81" s="36">
        <v>5611</v>
      </c>
      <c r="K81" s="36">
        <v>112220</v>
      </c>
      <c r="L81" s="37">
        <v>0.25</v>
      </c>
      <c r="M81" s="15" t="s">
        <v>153</v>
      </c>
      <c r="N81" s="40">
        <v>224440</v>
      </c>
      <c r="O81" s="40">
        <v>0</v>
      </c>
      <c r="P81" s="40">
        <v>0</v>
      </c>
      <c r="Q81" s="40">
        <v>0</v>
      </c>
      <c r="R81" s="40">
        <f t="shared" ref="R81:R110" si="2">SUM(N81:Q81)</f>
        <v>224440</v>
      </c>
      <c r="S81"/>
    </row>
    <row r="82" spans="1:19">
      <c r="A82" s="32">
        <v>76</v>
      </c>
      <c r="B82" s="33" t="s">
        <v>29</v>
      </c>
      <c r="C82" s="34">
        <v>40464</v>
      </c>
      <c r="D82" s="27">
        <v>41643</v>
      </c>
      <c r="E82" s="15">
        <v>2010</v>
      </c>
      <c r="F82" s="32">
        <v>20445</v>
      </c>
      <c r="G82" s="35" t="s">
        <v>243</v>
      </c>
      <c r="H82" s="35" t="s">
        <v>23</v>
      </c>
      <c r="I82" s="27">
        <v>56</v>
      </c>
      <c r="J82" s="36">
        <v>7416</v>
      </c>
      <c r="K82" s="36">
        <v>207648</v>
      </c>
      <c r="L82" s="37">
        <v>0.25</v>
      </c>
      <c r="M82" s="15" t="s">
        <v>153</v>
      </c>
      <c r="N82" s="40">
        <v>415296</v>
      </c>
      <c r="O82" s="40">
        <v>0</v>
      </c>
      <c r="P82" s="40">
        <v>0</v>
      </c>
      <c r="Q82" s="40">
        <v>0</v>
      </c>
      <c r="R82" s="40">
        <f t="shared" si="2"/>
        <v>415296</v>
      </c>
      <c r="S82"/>
    </row>
    <row r="83" spans="1:19">
      <c r="A83" s="32">
        <v>77</v>
      </c>
      <c r="B83" s="33" t="s">
        <v>29</v>
      </c>
      <c r="C83" s="34">
        <v>40464</v>
      </c>
      <c r="D83" s="27">
        <v>41644</v>
      </c>
      <c r="E83" s="15">
        <v>2010</v>
      </c>
      <c r="F83" s="32">
        <v>20446</v>
      </c>
      <c r="G83" s="35" t="s">
        <v>243</v>
      </c>
      <c r="H83" s="35" t="s">
        <v>114</v>
      </c>
      <c r="I83" s="27">
        <v>1</v>
      </c>
      <c r="J83" s="36">
        <v>5031</v>
      </c>
      <c r="K83" s="36">
        <v>2515.5</v>
      </c>
      <c r="L83" s="37">
        <v>0.25</v>
      </c>
      <c r="M83" s="15" t="s">
        <v>153</v>
      </c>
      <c r="N83" s="40">
        <v>5031</v>
      </c>
      <c r="O83" s="40">
        <v>0</v>
      </c>
      <c r="P83" s="40">
        <v>0</v>
      </c>
      <c r="Q83" s="40">
        <v>0</v>
      </c>
      <c r="R83" s="40">
        <f t="shared" si="2"/>
        <v>5031</v>
      </c>
      <c r="S83"/>
    </row>
    <row r="84" spans="1:19">
      <c r="A84" s="32">
        <v>78</v>
      </c>
      <c r="B84" s="44" t="s">
        <v>15</v>
      </c>
      <c r="C84" s="45">
        <v>40464</v>
      </c>
      <c r="D84" s="15">
        <v>41667</v>
      </c>
      <c r="E84" s="15">
        <v>2010</v>
      </c>
      <c r="F84" s="18">
        <v>20461</v>
      </c>
      <c r="G84" s="46" t="s">
        <v>121</v>
      </c>
      <c r="H84" s="46" t="s">
        <v>114</v>
      </c>
      <c r="I84" s="15">
        <v>2.6819999999999999</v>
      </c>
      <c r="J84" s="47">
        <v>3531</v>
      </c>
      <c r="K84" s="47">
        <v>4735.07</v>
      </c>
      <c r="L84" s="48">
        <v>0.25</v>
      </c>
      <c r="M84" s="15" t="s">
        <v>153</v>
      </c>
      <c r="N84" s="17">
        <v>9470.14</v>
      </c>
      <c r="O84" s="40"/>
      <c r="P84" s="40">
        <v>0</v>
      </c>
      <c r="Q84" s="40">
        <v>0</v>
      </c>
      <c r="R84" s="40">
        <f t="shared" si="2"/>
        <v>9470.14</v>
      </c>
      <c r="S84"/>
    </row>
    <row r="85" spans="1:19">
      <c r="A85" s="32">
        <v>79</v>
      </c>
      <c r="B85" s="44" t="s">
        <v>9</v>
      </c>
      <c r="C85" s="45">
        <v>40464</v>
      </c>
      <c r="D85" s="15">
        <v>41668</v>
      </c>
      <c r="E85" s="15">
        <v>2010</v>
      </c>
      <c r="F85" s="18">
        <v>20462</v>
      </c>
      <c r="G85" s="46" t="s">
        <v>131</v>
      </c>
      <c r="H85" s="46" t="s">
        <v>114</v>
      </c>
      <c r="I85" s="15">
        <v>8.1020000000000003</v>
      </c>
      <c r="J85" s="47">
        <v>5013.12</v>
      </c>
      <c r="K85" s="47">
        <v>20308.169999999998</v>
      </c>
      <c r="L85" s="48">
        <v>0.25</v>
      </c>
      <c r="M85" s="15" t="s">
        <v>153</v>
      </c>
      <c r="N85" s="17">
        <v>40616.33</v>
      </c>
      <c r="O85" s="40">
        <v>0</v>
      </c>
      <c r="P85" s="40">
        <v>0</v>
      </c>
      <c r="Q85" s="40">
        <v>0</v>
      </c>
      <c r="R85" s="40">
        <f t="shared" si="2"/>
        <v>40616.33</v>
      </c>
      <c r="S85"/>
    </row>
    <row r="86" spans="1:19">
      <c r="A86" s="32">
        <v>80</v>
      </c>
      <c r="B86" s="44" t="s">
        <v>56</v>
      </c>
      <c r="C86" s="45">
        <v>40464</v>
      </c>
      <c r="D86" s="15">
        <v>41670</v>
      </c>
      <c r="E86" s="15">
        <v>2010</v>
      </c>
      <c r="F86" s="18">
        <v>20464</v>
      </c>
      <c r="G86" s="46" t="s">
        <v>145</v>
      </c>
      <c r="H86" s="46" t="s">
        <v>114</v>
      </c>
      <c r="I86" s="15">
        <v>27</v>
      </c>
      <c r="J86" s="47">
        <v>2013</v>
      </c>
      <c r="K86" s="47">
        <v>27175.5</v>
      </c>
      <c r="L86" s="48">
        <v>0.25</v>
      </c>
      <c r="M86" s="15" t="s">
        <v>153</v>
      </c>
      <c r="N86" s="17">
        <v>54351</v>
      </c>
      <c r="O86" s="40">
        <v>0</v>
      </c>
      <c r="P86" s="40">
        <v>0</v>
      </c>
      <c r="Q86" s="40">
        <v>0</v>
      </c>
      <c r="R86" s="40">
        <f t="shared" si="2"/>
        <v>54351</v>
      </c>
      <c r="S86"/>
    </row>
    <row r="87" spans="1:19">
      <c r="A87" s="32">
        <v>81</v>
      </c>
      <c r="B87" s="44" t="s">
        <v>56</v>
      </c>
      <c r="C87" s="45">
        <v>40464</v>
      </c>
      <c r="D87" s="15">
        <v>41671</v>
      </c>
      <c r="E87" s="15">
        <v>2010</v>
      </c>
      <c r="F87" s="18">
        <v>20465</v>
      </c>
      <c r="G87" s="46" t="s">
        <v>145</v>
      </c>
      <c r="H87" s="46" t="s">
        <v>114</v>
      </c>
      <c r="I87" s="15">
        <v>4</v>
      </c>
      <c r="J87" s="47">
        <v>2013</v>
      </c>
      <c r="K87" s="47">
        <v>4026</v>
      </c>
      <c r="L87" s="48">
        <v>0.25</v>
      </c>
      <c r="M87" s="15" t="s">
        <v>153</v>
      </c>
      <c r="N87" s="17">
        <v>8052</v>
      </c>
      <c r="O87" s="40">
        <v>0</v>
      </c>
      <c r="P87" s="40">
        <v>0</v>
      </c>
      <c r="Q87" s="40">
        <v>0</v>
      </c>
      <c r="R87" s="40">
        <f t="shared" si="2"/>
        <v>8052</v>
      </c>
      <c r="S87"/>
    </row>
    <row r="88" spans="1:19">
      <c r="A88" s="32">
        <v>82</v>
      </c>
      <c r="B88" s="44" t="s">
        <v>56</v>
      </c>
      <c r="C88" s="45">
        <v>40464</v>
      </c>
      <c r="D88" s="15">
        <v>41672</v>
      </c>
      <c r="E88" s="15">
        <v>2010</v>
      </c>
      <c r="F88" s="18">
        <v>20466</v>
      </c>
      <c r="G88" s="46" t="s">
        <v>145</v>
      </c>
      <c r="H88" s="46" t="s">
        <v>114</v>
      </c>
      <c r="I88" s="15">
        <v>6</v>
      </c>
      <c r="J88" s="47">
        <v>2013</v>
      </c>
      <c r="K88" s="47">
        <v>6039</v>
      </c>
      <c r="L88" s="48">
        <v>0.25</v>
      </c>
      <c r="M88" s="15" t="s">
        <v>153</v>
      </c>
      <c r="N88" s="17">
        <v>12078</v>
      </c>
      <c r="O88" s="40">
        <v>0</v>
      </c>
      <c r="P88" s="40">
        <v>0</v>
      </c>
      <c r="Q88" s="40">
        <v>0</v>
      </c>
      <c r="R88" s="40">
        <f t="shared" si="2"/>
        <v>12078</v>
      </c>
      <c r="S88"/>
    </row>
    <row r="89" spans="1:19">
      <c r="A89" s="32">
        <v>83</v>
      </c>
      <c r="B89" s="33" t="s">
        <v>15</v>
      </c>
      <c r="C89" s="34">
        <v>40464</v>
      </c>
      <c r="D89" s="27">
        <v>41679</v>
      </c>
      <c r="E89" s="15">
        <v>2010</v>
      </c>
      <c r="F89" s="32">
        <v>20467</v>
      </c>
      <c r="G89" s="35" t="s">
        <v>243</v>
      </c>
      <c r="H89" s="35" t="s">
        <v>114</v>
      </c>
      <c r="I89" s="27">
        <v>5</v>
      </c>
      <c r="J89" s="36">
        <v>3531</v>
      </c>
      <c r="K89" s="36">
        <v>8827.5</v>
      </c>
      <c r="L89" s="37">
        <v>0.25</v>
      </c>
      <c r="M89" s="15" t="s">
        <v>153</v>
      </c>
      <c r="N89" s="40">
        <v>17655</v>
      </c>
      <c r="O89" s="40">
        <v>0</v>
      </c>
      <c r="P89" s="40">
        <v>0</v>
      </c>
      <c r="Q89" s="40">
        <v>0</v>
      </c>
      <c r="R89" s="40">
        <f t="shared" si="2"/>
        <v>17655</v>
      </c>
      <c r="S89"/>
    </row>
    <row r="90" spans="1:19">
      <c r="A90" s="32">
        <v>84</v>
      </c>
      <c r="B90" s="33" t="s">
        <v>15</v>
      </c>
      <c r="C90" s="34">
        <v>40464</v>
      </c>
      <c r="D90" s="27">
        <v>41680</v>
      </c>
      <c r="E90" s="15">
        <v>2010</v>
      </c>
      <c r="F90" s="32">
        <v>20468</v>
      </c>
      <c r="G90" s="35" t="s">
        <v>243</v>
      </c>
      <c r="H90" s="35" t="s">
        <v>114</v>
      </c>
      <c r="I90" s="27">
        <v>20</v>
      </c>
      <c r="J90" s="36">
        <v>3531</v>
      </c>
      <c r="K90" s="36">
        <v>35310</v>
      </c>
      <c r="L90" s="37">
        <v>0.25</v>
      </c>
      <c r="M90" s="15" t="s">
        <v>153</v>
      </c>
      <c r="N90" s="40">
        <v>70620</v>
      </c>
      <c r="O90" s="40">
        <v>0</v>
      </c>
      <c r="P90" s="40">
        <v>0</v>
      </c>
      <c r="Q90" s="40">
        <v>0</v>
      </c>
      <c r="R90" s="40">
        <f t="shared" si="2"/>
        <v>70620</v>
      </c>
      <c r="S90"/>
    </row>
    <row r="91" spans="1:19">
      <c r="A91" s="32">
        <v>85</v>
      </c>
      <c r="B91" s="33" t="s">
        <v>15</v>
      </c>
      <c r="C91" s="34">
        <v>40464</v>
      </c>
      <c r="D91" s="27">
        <v>41681</v>
      </c>
      <c r="E91" s="15">
        <v>2010</v>
      </c>
      <c r="F91" s="32">
        <v>20469</v>
      </c>
      <c r="G91" s="35" t="s">
        <v>243</v>
      </c>
      <c r="H91" s="35" t="s">
        <v>114</v>
      </c>
      <c r="I91" s="27">
        <v>5</v>
      </c>
      <c r="J91" s="36">
        <v>4531</v>
      </c>
      <c r="K91" s="36">
        <v>11327.5</v>
      </c>
      <c r="L91" s="37">
        <v>0.25</v>
      </c>
      <c r="M91" s="15" t="s">
        <v>153</v>
      </c>
      <c r="N91" s="40">
        <v>22655</v>
      </c>
      <c r="O91" s="40">
        <v>0</v>
      </c>
      <c r="P91" s="40">
        <v>0</v>
      </c>
      <c r="Q91" s="40">
        <v>0</v>
      </c>
      <c r="R91" s="40">
        <f t="shared" si="2"/>
        <v>22655</v>
      </c>
      <c r="S91"/>
    </row>
    <row r="92" spans="1:19">
      <c r="A92" s="32">
        <v>86</v>
      </c>
      <c r="B92" s="33" t="s">
        <v>56</v>
      </c>
      <c r="C92" s="34">
        <v>40464</v>
      </c>
      <c r="D92" s="27">
        <v>41682</v>
      </c>
      <c r="E92" s="15">
        <v>2010</v>
      </c>
      <c r="F92" s="32">
        <v>20470</v>
      </c>
      <c r="G92" s="35" t="s">
        <v>243</v>
      </c>
      <c r="H92" s="35" t="s">
        <v>114</v>
      </c>
      <c r="I92" s="27">
        <v>41</v>
      </c>
      <c r="J92" s="36">
        <v>2413</v>
      </c>
      <c r="K92" s="36">
        <v>49466.5</v>
      </c>
      <c r="L92" s="37">
        <v>0.25</v>
      </c>
      <c r="M92" s="15" t="s">
        <v>153</v>
      </c>
      <c r="N92" s="40">
        <v>98933</v>
      </c>
      <c r="O92" s="40">
        <v>0</v>
      </c>
      <c r="P92" s="40">
        <v>0</v>
      </c>
      <c r="Q92" s="40">
        <v>0</v>
      </c>
      <c r="R92" s="40">
        <f t="shared" si="2"/>
        <v>98933</v>
      </c>
      <c r="S92"/>
    </row>
    <row r="93" spans="1:19">
      <c r="A93" s="32">
        <v>87</v>
      </c>
      <c r="B93" s="33" t="s">
        <v>15</v>
      </c>
      <c r="C93" s="34">
        <v>40464</v>
      </c>
      <c r="D93" s="27">
        <v>41684</v>
      </c>
      <c r="E93" s="15">
        <v>2010</v>
      </c>
      <c r="F93" s="32">
        <v>20471</v>
      </c>
      <c r="G93" s="35" t="s">
        <v>243</v>
      </c>
      <c r="H93" s="35" t="s">
        <v>114</v>
      </c>
      <c r="I93" s="27">
        <v>53.722999999999999</v>
      </c>
      <c r="J93" s="36">
        <v>3530.97</v>
      </c>
      <c r="K93" s="36">
        <v>94847.08</v>
      </c>
      <c r="L93" s="37">
        <v>0.25</v>
      </c>
      <c r="M93" s="15" t="s">
        <v>153</v>
      </c>
      <c r="N93" s="40">
        <v>189694.15</v>
      </c>
      <c r="O93" s="40">
        <v>0</v>
      </c>
      <c r="P93" s="40">
        <v>0</v>
      </c>
      <c r="Q93" s="40">
        <v>0</v>
      </c>
      <c r="R93" s="40">
        <f t="shared" si="2"/>
        <v>189694.15</v>
      </c>
      <c r="S93"/>
    </row>
    <row r="94" spans="1:19">
      <c r="A94" s="32">
        <v>88</v>
      </c>
      <c r="B94" s="33" t="s">
        <v>19</v>
      </c>
      <c r="C94" s="34">
        <v>40492</v>
      </c>
      <c r="D94" s="27">
        <v>41698</v>
      </c>
      <c r="E94" s="15">
        <v>2010</v>
      </c>
      <c r="F94" s="32">
        <v>20474</v>
      </c>
      <c r="G94" s="35" t="s">
        <v>243</v>
      </c>
      <c r="H94" s="35" t="s">
        <v>23</v>
      </c>
      <c r="I94" s="27">
        <v>110</v>
      </c>
      <c r="J94" s="36">
        <v>10720</v>
      </c>
      <c r="K94" s="36">
        <v>589600</v>
      </c>
      <c r="L94" s="37">
        <v>0.25</v>
      </c>
      <c r="M94" s="15" t="s">
        <v>153</v>
      </c>
      <c r="N94" s="40">
        <v>1179200</v>
      </c>
      <c r="O94" s="40">
        <v>0</v>
      </c>
      <c r="P94" s="40">
        <v>0</v>
      </c>
      <c r="Q94" s="40">
        <v>0</v>
      </c>
      <c r="R94" s="40">
        <f t="shared" si="2"/>
        <v>1179200</v>
      </c>
      <c r="S94"/>
    </row>
    <row r="95" spans="1:19">
      <c r="A95" s="32">
        <v>89</v>
      </c>
      <c r="B95" s="33" t="s">
        <v>19</v>
      </c>
      <c r="C95" s="34">
        <v>40492</v>
      </c>
      <c r="D95" s="27">
        <v>41699</v>
      </c>
      <c r="E95" s="15">
        <v>2010</v>
      </c>
      <c r="F95" s="32">
        <v>20475</v>
      </c>
      <c r="G95" s="35" t="s">
        <v>243</v>
      </c>
      <c r="H95" s="35" t="s">
        <v>23</v>
      </c>
      <c r="I95" s="27">
        <v>96</v>
      </c>
      <c r="J95" s="36">
        <v>8616</v>
      </c>
      <c r="K95" s="36">
        <v>413568</v>
      </c>
      <c r="L95" s="37">
        <v>0.25</v>
      </c>
      <c r="M95" s="15" t="s">
        <v>153</v>
      </c>
      <c r="N95" s="40">
        <v>827136</v>
      </c>
      <c r="O95" s="40">
        <v>0</v>
      </c>
      <c r="P95" s="40">
        <v>0</v>
      </c>
      <c r="Q95" s="40">
        <v>0</v>
      </c>
      <c r="R95" s="40">
        <f t="shared" si="2"/>
        <v>827136</v>
      </c>
      <c r="S95"/>
    </row>
    <row r="96" spans="1:19">
      <c r="A96" s="32">
        <v>90</v>
      </c>
      <c r="B96" s="33" t="s">
        <v>19</v>
      </c>
      <c r="C96" s="34">
        <v>40492</v>
      </c>
      <c r="D96" s="27">
        <v>41700</v>
      </c>
      <c r="E96" s="15">
        <v>2010</v>
      </c>
      <c r="F96" s="32">
        <v>20476</v>
      </c>
      <c r="G96" s="35" t="s">
        <v>243</v>
      </c>
      <c r="H96" s="35" t="s">
        <v>23</v>
      </c>
      <c r="I96" s="27">
        <v>42</v>
      </c>
      <c r="J96" s="36">
        <v>10720</v>
      </c>
      <c r="K96" s="36">
        <v>225120</v>
      </c>
      <c r="L96" s="37">
        <v>0.25</v>
      </c>
      <c r="M96" s="15" t="s">
        <v>151</v>
      </c>
      <c r="N96" s="40">
        <v>450240</v>
      </c>
      <c r="O96" s="40">
        <v>0</v>
      </c>
      <c r="P96" s="17">
        <v>0</v>
      </c>
      <c r="Q96" s="17">
        <v>599420.19999999995</v>
      </c>
      <c r="R96" s="40">
        <f t="shared" si="2"/>
        <v>1049660.2</v>
      </c>
      <c r="S96"/>
    </row>
    <row r="97" spans="1:19">
      <c r="A97" s="32">
        <v>91</v>
      </c>
      <c r="B97" s="33" t="s">
        <v>19</v>
      </c>
      <c r="C97" s="34">
        <v>40492</v>
      </c>
      <c r="D97" s="27">
        <v>41701</v>
      </c>
      <c r="E97" s="15">
        <v>2010</v>
      </c>
      <c r="F97" s="32">
        <v>20477</v>
      </c>
      <c r="G97" s="35" t="s">
        <v>243</v>
      </c>
      <c r="H97" s="35" t="s">
        <v>23</v>
      </c>
      <c r="I97" s="27">
        <v>44</v>
      </c>
      <c r="J97" s="36">
        <v>8616</v>
      </c>
      <c r="K97" s="36">
        <v>189552</v>
      </c>
      <c r="L97" s="37">
        <v>0.25</v>
      </c>
      <c r="M97" s="15" t="s">
        <v>153</v>
      </c>
      <c r="N97" s="40">
        <v>379104</v>
      </c>
      <c r="O97" s="40">
        <v>0</v>
      </c>
      <c r="P97" s="40">
        <v>0</v>
      </c>
      <c r="Q97" s="40">
        <v>0</v>
      </c>
      <c r="R97" s="40">
        <f t="shared" si="2"/>
        <v>379104</v>
      </c>
      <c r="S97"/>
    </row>
    <row r="98" spans="1:19">
      <c r="A98" s="32">
        <v>92</v>
      </c>
      <c r="B98" s="33" t="s">
        <v>19</v>
      </c>
      <c r="C98" s="34">
        <v>40492</v>
      </c>
      <c r="D98" s="27">
        <v>41702</v>
      </c>
      <c r="E98" s="15">
        <v>2010</v>
      </c>
      <c r="F98" s="32">
        <v>20478</v>
      </c>
      <c r="G98" s="35" t="s">
        <v>243</v>
      </c>
      <c r="H98" s="35" t="s">
        <v>23</v>
      </c>
      <c r="I98" s="27">
        <v>169</v>
      </c>
      <c r="J98" s="36">
        <v>10720</v>
      </c>
      <c r="K98" s="36">
        <v>905840</v>
      </c>
      <c r="L98" s="37">
        <v>0.25</v>
      </c>
      <c r="M98" s="15" t="s">
        <v>152</v>
      </c>
      <c r="N98" s="40">
        <v>1811680</v>
      </c>
      <c r="O98" s="40">
        <v>4225</v>
      </c>
      <c r="P98" s="40">
        <v>0</v>
      </c>
      <c r="Q98" s="40">
        <v>0</v>
      </c>
      <c r="R98" s="40">
        <f t="shared" si="2"/>
        <v>1815905</v>
      </c>
      <c r="S98"/>
    </row>
    <row r="99" spans="1:19">
      <c r="A99" s="32">
        <v>93</v>
      </c>
      <c r="B99" s="33" t="s">
        <v>19</v>
      </c>
      <c r="C99" s="34">
        <v>40492</v>
      </c>
      <c r="D99" s="27">
        <v>41703</v>
      </c>
      <c r="E99" s="15">
        <v>2010</v>
      </c>
      <c r="F99" s="32">
        <v>20479</v>
      </c>
      <c r="G99" s="35" t="s">
        <v>243</v>
      </c>
      <c r="H99" s="35" t="s">
        <v>23</v>
      </c>
      <c r="I99" s="27">
        <v>33</v>
      </c>
      <c r="J99" s="36">
        <v>10720</v>
      </c>
      <c r="K99" s="36">
        <v>176880</v>
      </c>
      <c r="L99" s="37">
        <v>0.25</v>
      </c>
      <c r="M99" s="15" t="s">
        <v>153</v>
      </c>
      <c r="N99" s="40">
        <v>353760</v>
      </c>
      <c r="O99" s="40">
        <v>0</v>
      </c>
      <c r="P99" s="40">
        <v>0</v>
      </c>
      <c r="Q99" s="40">
        <v>0</v>
      </c>
      <c r="R99" s="40">
        <f t="shared" si="2"/>
        <v>353760</v>
      </c>
      <c r="S99"/>
    </row>
    <row r="100" spans="1:19">
      <c r="A100" s="32">
        <v>94</v>
      </c>
      <c r="B100" s="44" t="s">
        <v>17</v>
      </c>
      <c r="C100" s="45">
        <v>40492</v>
      </c>
      <c r="D100" s="15">
        <v>41716</v>
      </c>
      <c r="E100" s="15">
        <v>2010</v>
      </c>
      <c r="F100" s="18">
        <v>20486</v>
      </c>
      <c r="G100" s="46" t="s">
        <v>139</v>
      </c>
      <c r="H100" s="46" t="s">
        <v>112</v>
      </c>
      <c r="I100" s="15">
        <v>8.84</v>
      </c>
      <c r="J100" s="47">
        <v>9091</v>
      </c>
      <c r="K100" s="47">
        <v>40182.22</v>
      </c>
      <c r="L100" s="48">
        <v>0.25</v>
      </c>
      <c r="M100" s="15" t="s">
        <v>153</v>
      </c>
      <c r="N100" s="17">
        <v>80364.44</v>
      </c>
      <c r="O100" s="40">
        <v>0</v>
      </c>
      <c r="P100" s="40">
        <v>0</v>
      </c>
      <c r="Q100" s="40">
        <v>0</v>
      </c>
      <c r="R100" s="40">
        <f t="shared" si="2"/>
        <v>80364.44</v>
      </c>
      <c r="S100"/>
    </row>
    <row r="101" spans="1:19">
      <c r="A101" s="32">
        <v>95</v>
      </c>
      <c r="B101" s="44" t="s">
        <v>17</v>
      </c>
      <c r="C101" s="45">
        <v>40492</v>
      </c>
      <c r="D101" s="15">
        <v>41717</v>
      </c>
      <c r="E101" s="15">
        <v>2010</v>
      </c>
      <c r="F101" s="18">
        <v>20487</v>
      </c>
      <c r="G101" s="46" t="s">
        <v>139</v>
      </c>
      <c r="H101" s="46" t="s">
        <v>112</v>
      </c>
      <c r="I101" s="15">
        <v>10</v>
      </c>
      <c r="J101" s="47">
        <v>9091</v>
      </c>
      <c r="K101" s="47">
        <v>45455</v>
      </c>
      <c r="L101" s="48">
        <v>0.25</v>
      </c>
      <c r="M101" s="15" t="s">
        <v>153</v>
      </c>
      <c r="N101" s="17">
        <v>90910</v>
      </c>
      <c r="O101" s="40">
        <v>0</v>
      </c>
      <c r="P101" s="40">
        <v>0</v>
      </c>
      <c r="Q101" s="40">
        <v>0</v>
      </c>
      <c r="R101" s="40">
        <f t="shared" si="2"/>
        <v>90910</v>
      </c>
      <c r="S101"/>
    </row>
    <row r="102" spans="1:19">
      <c r="A102" s="32">
        <v>96</v>
      </c>
      <c r="B102" s="44" t="s">
        <v>9</v>
      </c>
      <c r="C102" s="45">
        <v>40492</v>
      </c>
      <c r="D102" s="15">
        <v>41719</v>
      </c>
      <c r="E102" s="15">
        <v>2010</v>
      </c>
      <c r="F102" s="18">
        <v>20488</v>
      </c>
      <c r="G102" s="46" t="s">
        <v>136</v>
      </c>
      <c r="H102" s="46" t="s">
        <v>114</v>
      </c>
      <c r="I102" s="15">
        <v>94.63</v>
      </c>
      <c r="J102" s="47">
        <v>8888</v>
      </c>
      <c r="K102" s="47">
        <v>420535.72</v>
      </c>
      <c r="L102" s="48">
        <v>0.25</v>
      </c>
      <c r="M102" s="15" t="s">
        <v>153</v>
      </c>
      <c r="N102" s="17">
        <v>841071.44</v>
      </c>
      <c r="O102" s="40">
        <v>0</v>
      </c>
      <c r="P102" s="40">
        <v>0</v>
      </c>
      <c r="Q102" s="40">
        <v>0</v>
      </c>
      <c r="R102" s="40">
        <f t="shared" si="2"/>
        <v>841071.44</v>
      </c>
      <c r="S102"/>
    </row>
    <row r="103" spans="1:19">
      <c r="A103" s="32">
        <v>97</v>
      </c>
      <c r="B103" s="44" t="s">
        <v>9</v>
      </c>
      <c r="C103" s="45">
        <v>40492</v>
      </c>
      <c r="D103" s="15">
        <v>41721</v>
      </c>
      <c r="E103" s="15">
        <v>2010</v>
      </c>
      <c r="F103" s="18">
        <v>20489</v>
      </c>
      <c r="G103" s="46" t="s">
        <v>143</v>
      </c>
      <c r="H103" s="46" t="s">
        <v>114</v>
      </c>
      <c r="I103" s="15">
        <v>1.39</v>
      </c>
      <c r="J103" s="47">
        <v>7011</v>
      </c>
      <c r="K103" s="47">
        <v>4872.6499999999996</v>
      </c>
      <c r="L103" s="48">
        <v>0.25</v>
      </c>
      <c r="M103" s="15" t="s">
        <v>153</v>
      </c>
      <c r="N103" s="17">
        <v>9745.2900000000009</v>
      </c>
      <c r="O103" s="40">
        <v>0</v>
      </c>
      <c r="P103" s="40">
        <v>0</v>
      </c>
      <c r="Q103" s="40">
        <v>0</v>
      </c>
      <c r="R103" s="40">
        <f t="shared" si="2"/>
        <v>9745.2900000000009</v>
      </c>
      <c r="S103"/>
    </row>
    <row r="104" spans="1:19">
      <c r="A104" s="32">
        <v>98</v>
      </c>
      <c r="B104" s="44" t="s">
        <v>56</v>
      </c>
      <c r="C104" s="45">
        <v>40520</v>
      </c>
      <c r="D104" s="15">
        <v>41751</v>
      </c>
      <c r="E104" s="15">
        <v>2010</v>
      </c>
      <c r="F104" s="18">
        <v>20502</v>
      </c>
      <c r="G104" s="46" t="s">
        <v>144</v>
      </c>
      <c r="H104" s="46" t="s">
        <v>35</v>
      </c>
      <c r="I104" s="15">
        <v>10</v>
      </c>
      <c r="J104" s="47">
        <v>6000</v>
      </c>
      <c r="K104" s="47">
        <v>30000</v>
      </c>
      <c r="L104" s="48">
        <v>0.25</v>
      </c>
      <c r="M104" s="15" t="s">
        <v>153</v>
      </c>
      <c r="N104" s="17">
        <v>60000</v>
      </c>
      <c r="O104" s="40">
        <v>0</v>
      </c>
      <c r="P104" s="40">
        <v>0</v>
      </c>
      <c r="Q104" s="40">
        <v>0</v>
      </c>
      <c r="R104" s="40">
        <f t="shared" si="2"/>
        <v>60000</v>
      </c>
      <c r="S104"/>
    </row>
    <row r="105" spans="1:19">
      <c r="A105" s="32">
        <v>99</v>
      </c>
      <c r="B105" s="44" t="s">
        <v>56</v>
      </c>
      <c r="C105" s="45">
        <v>40520</v>
      </c>
      <c r="D105" s="15">
        <v>41752</v>
      </c>
      <c r="E105" s="15">
        <v>2010</v>
      </c>
      <c r="F105" s="18">
        <v>20503</v>
      </c>
      <c r="G105" s="46" t="s">
        <v>144</v>
      </c>
      <c r="H105" s="46" t="s">
        <v>113</v>
      </c>
      <c r="I105" s="15">
        <v>2</v>
      </c>
      <c r="J105" s="47">
        <v>6000</v>
      </c>
      <c r="K105" s="47">
        <v>6000</v>
      </c>
      <c r="L105" s="48">
        <v>0.25</v>
      </c>
      <c r="M105" s="15" t="s">
        <v>153</v>
      </c>
      <c r="N105" s="17">
        <v>12000</v>
      </c>
      <c r="O105" s="40">
        <v>0</v>
      </c>
      <c r="P105" s="40">
        <v>0</v>
      </c>
      <c r="Q105" s="40">
        <v>0</v>
      </c>
      <c r="R105" s="40">
        <f t="shared" si="2"/>
        <v>12000</v>
      </c>
      <c r="S105"/>
    </row>
    <row r="106" spans="1:19">
      <c r="A106" s="32">
        <v>100</v>
      </c>
      <c r="B106" s="44" t="s">
        <v>56</v>
      </c>
      <c r="C106" s="45">
        <v>40520</v>
      </c>
      <c r="D106" s="15">
        <v>41753</v>
      </c>
      <c r="E106" s="15">
        <v>2010</v>
      </c>
      <c r="F106" s="18">
        <v>20504</v>
      </c>
      <c r="G106" s="46" t="s">
        <v>144</v>
      </c>
      <c r="H106" s="46" t="s">
        <v>114</v>
      </c>
      <c r="I106" s="15">
        <v>3</v>
      </c>
      <c r="J106" s="47">
        <v>4583</v>
      </c>
      <c r="K106" s="47">
        <v>6874.5</v>
      </c>
      <c r="L106" s="48">
        <v>0.25</v>
      </c>
      <c r="M106" s="15" t="s">
        <v>153</v>
      </c>
      <c r="N106" s="17">
        <v>13749</v>
      </c>
      <c r="O106" s="40">
        <v>0</v>
      </c>
      <c r="P106" s="40">
        <v>0</v>
      </c>
      <c r="Q106" s="40">
        <v>0</v>
      </c>
      <c r="R106" s="40">
        <f t="shared" si="2"/>
        <v>13749</v>
      </c>
      <c r="S106"/>
    </row>
    <row r="107" spans="1:19">
      <c r="A107" s="32">
        <v>101</v>
      </c>
      <c r="B107" s="44" t="s">
        <v>56</v>
      </c>
      <c r="C107" s="45">
        <v>40520</v>
      </c>
      <c r="D107" s="15">
        <v>41754</v>
      </c>
      <c r="E107" s="15">
        <v>2010</v>
      </c>
      <c r="F107" s="18">
        <v>20505</v>
      </c>
      <c r="G107" s="46" t="s">
        <v>144</v>
      </c>
      <c r="H107" s="46" t="s">
        <v>114</v>
      </c>
      <c r="I107" s="15">
        <v>2</v>
      </c>
      <c r="J107" s="47">
        <v>1583</v>
      </c>
      <c r="K107" s="47">
        <v>1583</v>
      </c>
      <c r="L107" s="48">
        <v>0.25</v>
      </c>
      <c r="M107" s="15" t="s">
        <v>153</v>
      </c>
      <c r="N107" s="17">
        <v>3166</v>
      </c>
      <c r="O107" s="40">
        <v>0</v>
      </c>
      <c r="P107" s="40">
        <v>0</v>
      </c>
      <c r="Q107" s="40">
        <v>0</v>
      </c>
      <c r="R107" s="40">
        <f t="shared" si="2"/>
        <v>3166</v>
      </c>
      <c r="S107"/>
    </row>
    <row r="108" spans="1:19">
      <c r="A108" s="32">
        <v>102</v>
      </c>
      <c r="B108" s="44" t="s">
        <v>56</v>
      </c>
      <c r="C108" s="45">
        <v>40520</v>
      </c>
      <c r="D108" s="15">
        <v>41755</v>
      </c>
      <c r="E108" s="15">
        <v>2010</v>
      </c>
      <c r="F108" s="18">
        <v>20506</v>
      </c>
      <c r="G108" s="46" t="s">
        <v>146</v>
      </c>
      <c r="H108" s="46" t="s">
        <v>113</v>
      </c>
      <c r="I108" s="15">
        <v>5.96</v>
      </c>
      <c r="J108" s="47">
        <v>6000</v>
      </c>
      <c r="K108" s="47">
        <v>17880</v>
      </c>
      <c r="L108" s="48">
        <v>0.25</v>
      </c>
      <c r="M108" s="15" t="s">
        <v>153</v>
      </c>
      <c r="N108" s="17">
        <v>35760</v>
      </c>
      <c r="O108" s="40">
        <v>0</v>
      </c>
      <c r="P108" s="40">
        <v>0</v>
      </c>
      <c r="Q108" s="40">
        <v>0</v>
      </c>
      <c r="R108" s="40">
        <f t="shared" si="2"/>
        <v>35760</v>
      </c>
      <c r="S108"/>
    </row>
    <row r="109" spans="1:19">
      <c r="A109" s="32">
        <v>103</v>
      </c>
      <c r="B109" s="33" t="s">
        <v>17</v>
      </c>
      <c r="C109" s="34">
        <v>40520</v>
      </c>
      <c r="D109" s="27">
        <v>41771</v>
      </c>
      <c r="E109" s="15">
        <v>2010</v>
      </c>
      <c r="F109" s="32">
        <v>20510</v>
      </c>
      <c r="G109" s="35" t="s">
        <v>243</v>
      </c>
      <c r="H109" s="35" t="s">
        <v>112</v>
      </c>
      <c r="I109" s="27">
        <v>40</v>
      </c>
      <c r="J109" s="36">
        <v>8000</v>
      </c>
      <c r="K109" s="36">
        <v>160000</v>
      </c>
      <c r="L109" s="37">
        <v>0.25</v>
      </c>
      <c r="M109" s="15" t="s">
        <v>153</v>
      </c>
      <c r="N109" s="40">
        <v>320000</v>
      </c>
      <c r="O109" s="40">
        <v>0</v>
      </c>
      <c r="P109" s="40">
        <v>0</v>
      </c>
      <c r="Q109" s="40">
        <v>0</v>
      </c>
      <c r="R109" s="40">
        <f t="shared" si="2"/>
        <v>320000</v>
      </c>
      <c r="S109"/>
    </row>
    <row r="110" spans="1:19" ht="17.25">
      <c r="A110" s="32">
        <v>104</v>
      </c>
      <c r="B110" s="33" t="s">
        <v>56</v>
      </c>
      <c r="C110" s="34">
        <v>40520</v>
      </c>
      <c r="D110" s="27">
        <v>41774</v>
      </c>
      <c r="E110" s="15">
        <v>2010</v>
      </c>
      <c r="F110" s="32">
        <v>20511</v>
      </c>
      <c r="G110" s="35" t="s">
        <v>243</v>
      </c>
      <c r="H110" s="35" t="s">
        <v>113</v>
      </c>
      <c r="I110" s="27">
        <v>22</v>
      </c>
      <c r="J110" s="36">
        <v>6000</v>
      </c>
      <c r="K110" s="36">
        <v>66000</v>
      </c>
      <c r="L110" s="37">
        <v>0.25</v>
      </c>
      <c r="M110" s="15" t="s">
        <v>153</v>
      </c>
      <c r="N110" s="51">
        <v>132000</v>
      </c>
      <c r="O110" s="51">
        <v>0</v>
      </c>
      <c r="P110" s="51">
        <v>0</v>
      </c>
      <c r="Q110" s="51">
        <v>0</v>
      </c>
      <c r="R110" s="51">
        <f t="shared" si="2"/>
        <v>132000</v>
      </c>
      <c r="S110"/>
    </row>
    <row r="111" spans="1:19">
      <c r="M111" s="22" t="s">
        <v>261</v>
      </c>
      <c r="N111" s="23">
        <f>SUM(N7:N110)</f>
        <v>33943619.060000002</v>
      </c>
      <c r="O111" s="24">
        <f>SUM(O7:O110)</f>
        <v>1639006.6099999999</v>
      </c>
      <c r="P111" s="24">
        <f>SUM(P7:P110)</f>
        <v>357790.8</v>
      </c>
      <c r="Q111" s="24">
        <f>SUM(Q7:Q110)</f>
        <v>1992207.4899999998</v>
      </c>
      <c r="R111" s="24">
        <f>SUM(R7:R110)</f>
        <v>37932623.959999993</v>
      </c>
      <c r="S111"/>
    </row>
  </sheetData>
  <autoFilter ref="B6:S110">
    <filterColumn colId="3"/>
    <filterColumn colId="13"/>
    <filterColumn colId="16"/>
    <sortState ref="B7:W430">
      <sortCondition ref="D6:D430"/>
    </sortState>
  </autoFilter>
  <pageMargins left="0.45" right="0.45" top="0.5" bottom="0.5" header="0.3" footer="0.3"/>
  <pageSetup paperSize="5" scale="64" fitToHeight="23" orientation="landscape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topLeftCell="I1" workbookViewId="0">
      <selection activeCell="J31" sqref="J31"/>
    </sheetView>
  </sheetViews>
  <sheetFormatPr defaultRowHeight="15"/>
  <cols>
    <col min="1" max="1" width="5.42578125" customWidth="1"/>
    <col min="2" max="2" width="17" bestFit="1" customWidth="1"/>
    <col min="3" max="3" width="12.140625" customWidth="1"/>
    <col min="4" max="4" width="16.140625" hidden="1" customWidth="1"/>
    <col min="5" max="5" width="5.85546875" hidden="1" customWidth="1"/>
    <col min="6" max="6" width="13.42578125" customWidth="1"/>
    <col min="7" max="7" width="24.140625" bestFit="1" customWidth="1"/>
    <col min="8" max="8" width="35.28515625" bestFit="1" customWidth="1"/>
    <col min="9" max="9" width="14.7109375" bestFit="1" customWidth="1"/>
    <col min="10" max="10" width="15.85546875" customWidth="1"/>
    <col min="11" max="11" width="16.7109375" hidden="1" customWidth="1"/>
    <col min="12" max="12" width="12.7109375" customWidth="1"/>
    <col min="13" max="13" width="12.85546875" style="2" customWidth="1"/>
    <col min="14" max="14" width="16.28515625" bestFit="1" customWidth="1"/>
    <col min="15" max="15" width="16.140625" customWidth="1"/>
    <col min="16" max="16" width="13.42578125" customWidth="1"/>
    <col min="17" max="18" width="16.28515625" customWidth="1"/>
    <col min="19" max="19" width="48.7109375" style="11" bestFit="1" customWidth="1"/>
    <col min="249" max="249" width="22.7109375" customWidth="1"/>
    <col min="250" max="250" width="14.28515625" bestFit="1" customWidth="1"/>
    <col min="251" max="251" width="12.7109375" bestFit="1" customWidth="1"/>
    <col min="252" max="252" width="12.7109375" customWidth="1"/>
    <col min="253" max="253" width="10.140625" customWidth="1"/>
    <col min="254" max="254" width="27.28515625" customWidth="1"/>
    <col min="255" max="255" width="13.85546875" bestFit="1" customWidth="1"/>
    <col min="256" max="256" width="41.5703125" customWidth="1"/>
    <col min="257" max="257" width="12.5703125" bestFit="1" customWidth="1"/>
    <col min="258" max="258" width="10.42578125" bestFit="1" customWidth="1"/>
    <col min="259" max="259" width="44" bestFit="1" customWidth="1"/>
    <col min="260" max="260" width="14.140625" bestFit="1" customWidth="1"/>
    <col min="261" max="261" width="11.140625" bestFit="1" customWidth="1"/>
    <col min="262" max="262" width="14.140625" customWidth="1"/>
    <col min="263" max="263" width="15.42578125" bestFit="1" customWidth="1"/>
    <col min="264" max="264" width="13.28515625" bestFit="1" customWidth="1"/>
    <col min="265" max="265" width="13.5703125" customWidth="1"/>
    <col min="266" max="266" width="10.140625" bestFit="1" customWidth="1"/>
    <col min="267" max="267" width="11.28515625" bestFit="1" customWidth="1"/>
    <col min="268" max="268" width="30.7109375" customWidth="1"/>
    <col min="271" max="271" width="11.28515625" customWidth="1"/>
    <col min="505" max="505" width="22.7109375" customWidth="1"/>
    <col min="506" max="506" width="14.28515625" bestFit="1" customWidth="1"/>
    <col min="507" max="507" width="12.7109375" bestFit="1" customWidth="1"/>
    <col min="508" max="508" width="12.7109375" customWidth="1"/>
    <col min="509" max="509" width="10.140625" customWidth="1"/>
    <col min="510" max="510" width="27.28515625" customWidth="1"/>
    <col min="511" max="511" width="13.85546875" bestFit="1" customWidth="1"/>
    <col min="512" max="512" width="41.5703125" customWidth="1"/>
    <col min="513" max="513" width="12.5703125" bestFit="1" customWidth="1"/>
    <col min="514" max="514" width="10.42578125" bestFit="1" customWidth="1"/>
    <col min="515" max="515" width="44" bestFit="1" customWidth="1"/>
    <col min="516" max="516" width="14.140625" bestFit="1" customWidth="1"/>
    <col min="517" max="517" width="11.140625" bestFit="1" customWidth="1"/>
    <col min="518" max="518" width="14.140625" customWidth="1"/>
    <col min="519" max="519" width="15.42578125" bestFit="1" customWidth="1"/>
    <col min="520" max="520" width="13.28515625" bestFit="1" customWidth="1"/>
    <col min="521" max="521" width="13.5703125" customWidth="1"/>
    <col min="522" max="522" width="10.140625" bestFit="1" customWidth="1"/>
    <col min="523" max="523" width="11.28515625" bestFit="1" customWidth="1"/>
    <col min="524" max="524" width="30.7109375" customWidth="1"/>
    <col min="527" max="527" width="11.28515625" customWidth="1"/>
    <col min="761" max="761" width="22.7109375" customWidth="1"/>
    <col min="762" max="762" width="14.28515625" bestFit="1" customWidth="1"/>
    <col min="763" max="763" width="12.7109375" bestFit="1" customWidth="1"/>
    <col min="764" max="764" width="12.7109375" customWidth="1"/>
    <col min="765" max="765" width="10.140625" customWidth="1"/>
    <col min="766" max="766" width="27.28515625" customWidth="1"/>
    <col min="767" max="767" width="13.85546875" bestFit="1" customWidth="1"/>
    <col min="768" max="768" width="41.5703125" customWidth="1"/>
    <col min="769" max="769" width="12.5703125" bestFit="1" customWidth="1"/>
    <col min="770" max="770" width="10.42578125" bestFit="1" customWidth="1"/>
    <col min="771" max="771" width="44" bestFit="1" customWidth="1"/>
    <col min="772" max="772" width="14.140625" bestFit="1" customWidth="1"/>
    <col min="773" max="773" width="11.140625" bestFit="1" customWidth="1"/>
    <col min="774" max="774" width="14.140625" customWidth="1"/>
    <col min="775" max="775" width="15.42578125" bestFit="1" customWidth="1"/>
    <col min="776" max="776" width="13.28515625" bestFit="1" customWidth="1"/>
    <col min="777" max="777" width="13.5703125" customWidth="1"/>
    <col min="778" max="778" width="10.140625" bestFit="1" customWidth="1"/>
    <col min="779" max="779" width="11.28515625" bestFit="1" customWidth="1"/>
    <col min="780" max="780" width="30.7109375" customWidth="1"/>
    <col min="783" max="783" width="11.28515625" customWidth="1"/>
    <col min="1017" max="1017" width="22.7109375" customWidth="1"/>
    <col min="1018" max="1018" width="14.28515625" bestFit="1" customWidth="1"/>
    <col min="1019" max="1019" width="12.7109375" bestFit="1" customWidth="1"/>
    <col min="1020" max="1020" width="12.7109375" customWidth="1"/>
    <col min="1021" max="1021" width="10.140625" customWidth="1"/>
    <col min="1022" max="1022" width="27.28515625" customWidth="1"/>
    <col min="1023" max="1023" width="13.85546875" bestFit="1" customWidth="1"/>
    <col min="1024" max="1024" width="41.5703125" customWidth="1"/>
    <col min="1025" max="1025" width="12.5703125" bestFit="1" customWidth="1"/>
    <col min="1026" max="1026" width="10.42578125" bestFit="1" customWidth="1"/>
    <col min="1027" max="1027" width="44" bestFit="1" customWidth="1"/>
    <col min="1028" max="1028" width="14.140625" bestFit="1" customWidth="1"/>
    <col min="1029" max="1029" width="11.140625" bestFit="1" customWidth="1"/>
    <col min="1030" max="1030" width="14.140625" customWidth="1"/>
    <col min="1031" max="1031" width="15.42578125" bestFit="1" customWidth="1"/>
    <col min="1032" max="1032" width="13.28515625" bestFit="1" customWidth="1"/>
    <col min="1033" max="1033" width="13.5703125" customWidth="1"/>
    <col min="1034" max="1034" width="10.140625" bestFit="1" customWidth="1"/>
    <col min="1035" max="1035" width="11.28515625" bestFit="1" customWidth="1"/>
    <col min="1036" max="1036" width="30.7109375" customWidth="1"/>
    <col min="1039" max="1039" width="11.28515625" customWidth="1"/>
    <col min="1273" max="1273" width="22.7109375" customWidth="1"/>
    <col min="1274" max="1274" width="14.28515625" bestFit="1" customWidth="1"/>
    <col min="1275" max="1275" width="12.7109375" bestFit="1" customWidth="1"/>
    <col min="1276" max="1276" width="12.7109375" customWidth="1"/>
    <col min="1277" max="1277" width="10.140625" customWidth="1"/>
    <col min="1278" max="1278" width="27.28515625" customWidth="1"/>
    <col min="1279" max="1279" width="13.85546875" bestFit="1" customWidth="1"/>
    <col min="1280" max="1280" width="41.5703125" customWidth="1"/>
    <col min="1281" max="1281" width="12.5703125" bestFit="1" customWidth="1"/>
    <col min="1282" max="1282" width="10.42578125" bestFit="1" customWidth="1"/>
    <col min="1283" max="1283" width="44" bestFit="1" customWidth="1"/>
    <col min="1284" max="1284" width="14.140625" bestFit="1" customWidth="1"/>
    <col min="1285" max="1285" width="11.140625" bestFit="1" customWidth="1"/>
    <col min="1286" max="1286" width="14.140625" customWidth="1"/>
    <col min="1287" max="1287" width="15.42578125" bestFit="1" customWidth="1"/>
    <col min="1288" max="1288" width="13.28515625" bestFit="1" customWidth="1"/>
    <col min="1289" max="1289" width="13.5703125" customWidth="1"/>
    <col min="1290" max="1290" width="10.140625" bestFit="1" customWidth="1"/>
    <col min="1291" max="1291" width="11.28515625" bestFit="1" customWidth="1"/>
    <col min="1292" max="1292" width="30.7109375" customWidth="1"/>
    <col min="1295" max="1295" width="11.28515625" customWidth="1"/>
    <col min="1529" max="1529" width="22.7109375" customWidth="1"/>
    <col min="1530" max="1530" width="14.28515625" bestFit="1" customWidth="1"/>
    <col min="1531" max="1531" width="12.7109375" bestFit="1" customWidth="1"/>
    <col min="1532" max="1532" width="12.7109375" customWidth="1"/>
    <col min="1533" max="1533" width="10.140625" customWidth="1"/>
    <col min="1534" max="1534" width="27.28515625" customWidth="1"/>
    <col min="1535" max="1535" width="13.85546875" bestFit="1" customWidth="1"/>
    <col min="1536" max="1536" width="41.5703125" customWidth="1"/>
    <col min="1537" max="1537" width="12.5703125" bestFit="1" customWidth="1"/>
    <col min="1538" max="1538" width="10.42578125" bestFit="1" customWidth="1"/>
    <col min="1539" max="1539" width="44" bestFit="1" customWidth="1"/>
    <col min="1540" max="1540" width="14.140625" bestFit="1" customWidth="1"/>
    <col min="1541" max="1541" width="11.140625" bestFit="1" customWidth="1"/>
    <col min="1542" max="1542" width="14.140625" customWidth="1"/>
    <col min="1543" max="1543" width="15.42578125" bestFit="1" customWidth="1"/>
    <col min="1544" max="1544" width="13.28515625" bestFit="1" customWidth="1"/>
    <col min="1545" max="1545" width="13.5703125" customWidth="1"/>
    <col min="1546" max="1546" width="10.140625" bestFit="1" customWidth="1"/>
    <col min="1547" max="1547" width="11.28515625" bestFit="1" customWidth="1"/>
    <col min="1548" max="1548" width="30.7109375" customWidth="1"/>
    <col min="1551" max="1551" width="11.28515625" customWidth="1"/>
    <col min="1785" max="1785" width="22.7109375" customWidth="1"/>
    <col min="1786" max="1786" width="14.28515625" bestFit="1" customWidth="1"/>
    <col min="1787" max="1787" width="12.7109375" bestFit="1" customWidth="1"/>
    <col min="1788" max="1788" width="12.7109375" customWidth="1"/>
    <col min="1789" max="1789" width="10.140625" customWidth="1"/>
    <col min="1790" max="1790" width="27.28515625" customWidth="1"/>
    <col min="1791" max="1791" width="13.85546875" bestFit="1" customWidth="1"/>
    <col min="1792" max="1792" width="41.5703125" customWidth="1"/>
    <col min="1793" max="1793" width="12.5703125" bestFit="1" customWidth="1"/>
    <col min="1794" max="1794" width="10.42578125" bestFit="1" customWidth="1"/>
    <col min="1795" max="1795" width="44" bestFit="1" customWidth="1"/>
    <col min="1796" max="1796" width="14.140625" bestFit="1" customWidth="1"/>
    <col min="1797" max="1797" width="11.140625" bestFit="1" customWidth="1"/>
    <col min="1798" max="1798" width="14.140625" customWidth="1"/>
    <col min="1799" max="1799" width="15.42578125" bestFit="1" customWidth="1"/>
    <col min="1800" max="1800" width="13.28515625" bestFit="1" customWidth="1"/>
    <col min="1801" max="1801" width="13.5703125" customWidth="1"/>
    <col min="1802" max="1802" width="10.140625" bestFit="1" customWidth="1"/>
    <col min="1803" max="1803" width="11.28515625" bestFit="1" customWidth="1"/>
    <col min="1804" max="1804" width="30.7109375" customWidth="1"/>
    <col min="1807" max="1807" width="11.28515625" customWidth="1"/>
    <col min="2041" max="2041" width="22.7109375" customWidth="1"/>
    <col min="2042" max="2042" width="14.28515625" bestFit="1" customWidth="1"/>
    <col min="2043" max="2043" width="12.7109375" bestFit="1" customWidth="1"/>
    <col min="2044" max="2044" width="12.7109375" customWidth="1"/>
    <col min="2045" max="2045" width="10.140625" customWidth="1"/>
    <col min="2046" max="2046" width="27.28515625" customWidth="1"/>
    <col min="2047" max="2047" width="13.85546875" bestFit="1" customWidth="1"/>
    <col min="2048" max="2048" width="41.5703125" customWidth="1"/>
    <col min="2049" max="2049" width="12.5703125" bestFit="1" customWidth="1"/>
    <col min="2050" max="2050" width="10.42578125" bestFit="1" customWidth="1"/>
    <col min="2051" max="2051" width="44" bestFit="1" customWidth="1"/>
    <col min="2052" max="2052" width="14.140625" bestFit="1" customWidth="1"/>
    <col min="2053" max="2053" width="11.140625" bestFit="1" customWidth="1"/>
    <col min="2054" max="2054" width="14.140625" customWidth="1"/>
    <col min="2055" max="2055" width="15.42578125" bestFit="1" customWidth="1"/>
    <col min="2056" max="2056" width="13.28515625" bestFit="1" customWidth="1"/>
    <col min="2057" max="2057" width="13.5703125" customWidth="1"/>
    <col min="2058" max="2058" width="10.140625" bestFit="1" customWidth="1"/>
    <col min="2059" max="2059" width="11.28515625" bestFit="1" customWidth="1"/>
    <col min="2060" max="2060" width="30.7109375" customWidth="1"/>
    <col min="2063" max="2063" width="11.28515625" customWidth="1"/>
    <col min="2297" max="2297" width="22.7109375" customWidth="1"/>
    <col min="2298" max="2298" width="14.28515625" bestFit="1" customWidth="1"/>
    <col min="2299" max="2299" width="12.7109375" bestFit="1" customWidth="1"/>
    <col min="2300" max="2300" width="12.7109375" customWidth="1"/>
    <col min="2301" max="2301" width="10.140625" customWidth="1"/>
    <col min="2302" max="2302" width="27.28515625" customWidth="1"/>
    <col min="2303" max="2303" width="13.85546875" bestFit="1" customWidth="1"/>
    <col min="2304" max="2304" width="41.5703125" customWidth="1"/>
    <col min="2305" max="2305" width="12.5703125" bestFit="1" customWidth="1"/>
    <col min="2306" max="2306" width="10.42578125" bestFit="1" customWidth="1"/>
    <col min="2307" max="2307" width="44" bestFit="1" customWidth="1"/>
    <col min="2308" max="2308" width="14.140625" bestFit="1" customWidth="1"/>
    <col min="2309" max="2309" width="11.140625" bestFit="1" customWidth="1"/>
    <col min="2310" max="2310" width="14.140625" customWidth="1"/>
    <col min="2311" max="2311" width="15.42578125" bestFit="1" customWidth="1"/>
    <col min="2312" max="2312" width="13.28515625" bestFit="1" customWidth="1"/>
    <col min="2313" max="2313" width="13.5703125" customWidth="1"/>
    <col min="2314" max="2314" width="10.140625" bestFit="1" customWidth="1"/>
    <col min="2315" max="2315" width="11.28515625" bestFit="1" customWidth="1"/>
    <col min="2316" max="2316" width="30.7109375" customWidth="1"/>
    <col min="2319" max="2319" width="11.28515625" customWidth="1"/>
    <col min="2553" max="2553" width="22.7109375" customWidth="1"/>
    <col min="2554" max="2554" width="14.28515625" bestFit="1" customWidth="1"/>
    <col min="2555" max="2555" width="12.7109375" bestFit="1" customWidth="1"/>
    <col min="2556" max="2556" width="12.7109375" customWidth="1"/>
    <col min="2557" max="2557" width="10.140625" customWidth="1"/>
    <col min="2558" max="2558" width="27.28515625" customWidth="1"/>
    <col min="2559" max="2559" width="13.85546875" bestFit="1" customWidth="1"/>
    <col min="2560" max="2560" width="41.5703125" customWidth="1"/>
    <col min="2561" max="2561" width="12.5703125" bestFit="1" customWidth="1"/>
    <col min="2562" max="2562" width="10.42578125" bestFit="1" customWidth="1"/>
    <col min="2563" max="2563" width="44" bestFit="1" customWidth="1"/>
    <col min="2564" max="2564" width="14.140625" bestFit="1" customWidth="1"/>
    <col min="2565" max="2565" width="11.140625" bestFit="1" customWidth="1"/>
    <col min="2566" max="2566" width="14.140625" customWidth="1"/>
    <col min="2567" max="2567" width="15.42578125" bestFit="1" customWidth="1"/>
    <col min="2568" max="2568" width="13.28515625" bestFit="1" customWidth="1"/>
    <col min="2569" max="2569" width="13.5703125" customWidth="1"/>
    <col min="2570" max="2570" width="10.140625" bestFit="1" customWidth="1"/>
    <col min="2571" max="2571" width="11.28515625" bestFit="1" customWidth="1"/>
    <col min="2572" max="2572" width="30.7109375" customWidth="1"/>
    <col min="2575" max="2575" width="11.28515625" customWidth="1"/>
    <col min="2809" max="2809" width="22.7109375" customWidth="1"/>
    <col min="2810" max="2810" width="14.28515625" bestFit="1" customWidth="1"/>
    <col min="2811" max="2811" width="12.7109375" bestFit="1" customWidth="1"/>
    <col min="2812" max="2812" width="12.7109375" customWidth="1"/>
    <col min="2813" max="2813" width="10.140625" customWidth="1"/>
    <col min="2814" max="2814" width="27.28515625" customWidth="1"/>
    <col min="2815" max="2815" width="13.85546875" bestFit="1" customWidth="1"/>
    <col min="2816" max="2816" width="41.5703125" customWidth="1"/>
    <col min="2817" max="2817" width="12.5703125" bestFit="1" customWidth="1"/>
    <col min="2818" max="2818" width="10.42578125" bestFit="1" customWidth="1"/>
    <col min="2819" max="2819" width="44" bestFit="1" customWidth="1"/>
    <col min="2820" max="2820" width="14.140625" bestFit="1" customWidth="1"/>
    <col min="2821" max="2821" width="11.140625" bestFit="1" customWidth="1"/>
    <col min="2822" max="2822" width="14.140625" customWidth="1"/>
    <col min="2823" max="2823" width="15.42578125" bestFit="1" customWidth="1"/>
    <col min="2824" max="2824" width="13.28515625" bestFit="1" customWidth="1"/>
    <col min="2825" max="2825" width="13.5703125" customWidth="1"/>
    <col min="2826" max="2826" width="10.140625" bestFit="1" customWidth="1"/>
    <col min="2827" max="2827" width="11.28515625" bestFit="1" customWidth="1"/>
    <col min="2828" max="2828" width="30.7109375" customWidth="1"/>
    <col min="2831" max="2831" width="11.28515625" customWidth="1"/>
    <col min="3065" max="3065" width="22.7109375" customWidth="1"/>
    <col min="3066" max="3066" width="14.28515625" bestFit="1" customWidth="1"/>
    <col min="3067" max="3067" width="12.7109375" bestFit="1" customWidth="1"/>
    <col min="3068" max="3068" width="12.7109375" customWidth="1"/>
    <col min="3069" max="3069" width="10.140625" customWidth="1"/>
    <col min="3070" max="3070" width="27.28515625" customWidth="1"/>
    <col min="3071" max="3071" width="13.85546875" bestFit="1" customWidth="1"/>
    <col min="3072" max="3072" width="41.5703125" customWidth="1"/>
    <col min="3073" max="3073" width="12.5703125" bestFit="1" customWidth="1"/>
    <col min="3074" max="3074" width="10.42578125" bestFit="1" customWidth="1"/>
    <col min="3075" max="3075" width="44" bestFit="1" customWidth="1"/>
    <col min="3076" max="3076" width="14.140625" bestFit="1" customWidth="1"/>
    <col min="3077" max="3077" width="11.140625" bestFit="1" customWidth="1"/>
    <col min="3078" max="3078" width="14.140625" customWidth="1"/>
    <col min="3079" max="3079" width="15.42578125" bestFit="1" customWidth="1"/>
    <col min="3080" max="3080" width="13.28515625" bestFit="1" customWidth="1"/>
    <col min="3081" max="3081" width="13.5703125" customWidth="1"/>
    <col min="3082" max="3082" width="10.140625" bestFit="1" customWidth="1"/>
    <col min="3083" max="3083" width="11.28515625" bestFit="1" customWidth="1"/>
    <col min="3084" max="3084" width="30.7109375" customWidth="1"/>
    <col min="3087" max="3087" width="11.28515625" customWidth="1"/>
    <col min="3321" max="3321" width="22.7109375" customWidth="1"/>
    <col min="3322" max="3322" width="14.28515625" bestFit="1" customWidth="1"/>
    <col min="3323" max="3323" width="12.7109375" bestFit="1" customWidth="1"/>
    <col min="3324" max="3324" width="12.7109375" customWidth="1"/>
    <col min="3325" max="3325" width="10.140625" customWidth="1"/>
    <col min="3326" max="3326" width="27.28515625" customWidth="1"/>
    <col min="3327" max="3327" width="13.85546875" bestFit="1" customWidth="1"/>
    <col min="3328" max="3328" width="41.5703125" customWidth="1"/>
    <col min="3329" max="3329" width="12.5703125" bestFit="1" customWidth="1"/>
    <col min="3330" max="3330" width="10.42578125" bestFit="1" customWidth="1"/>
    <col min="3331" max="3331" width="44" bestFit="1" customWidth="1"/>
    <col min="3332" max="3332" width="14.140625" bestFit="1" customWidth="1"/>
    <col min="3333" max="3333" width="11.140625" bestFit="1" customWidth="1"/>
    <col min="3334" max="3334" width="14.140625" customWidth="1"/>
    <col min="3335" max="3335" width="15.42578125" bestFit="1" customWidth="1"/>
    <col min="3336" max="3336" width="13.28515625" bestFit="1" customWidth="1"/>
    <col min="3337" max="3337" width="13.5703125" customWidth="1"/>
    <col min="3338" max="3338" width="10.140625" bestFit="1" customWidth="1"/>
    <col min="3339" max="3339" width="11.28515625" bestFit="1" customWidth="1"/>
    <col min="3340" max="3340" width="30.7109375" customWidth="1"/>
    <col min="3343" max="3343" width="11.28515625" customWidth="1"/>
    <col min="3577" max="3577" width="22.7109375" customWidth="1"/>
    <col min="3578" max="3578" width="14.28515625" bestFit="1" customWidth="1"/>
    <col min="3579" max="3579" width="12.7109375" bestFit="1" customWidth="1"/>
    <col min="3580" max="3580" width="12.7109375" customWidth="1"/>
    <col min="3581" max="3581" width="10.140625" customWidth="1"/>
    <col min="3582" max="3582" width="27.28515625" customWidth="1"/>
    <col min="3583" max="3583" width="13.85546875" bestFit="1" customWidth="1"/>
    <col min="3584" max="3584" width="41.5703125" customWidth="1"/>
    <col min="3585" max="3585" width="12.5703125" bestFit="1" customWidth="1"/>
    <col min="3586" max="3586" width="10.42578125" bestFit="1" customWidth="1"/>
    <col min="3587" max="3587" width="44" bestFit="1" customWidth="1"/>
    <col min="3588" max="3588" width="14.140625" bestFit="1" customWidth="1"/>
    <col min="3589" max="3589" width="11.140625" bestFit="1" customWidth="1"/>
    <col min="3590" max="3590" width="14.140625" customWidth="1"/>
    <col min="3591" max="3591" width="15.42578125" bestFit="1" customWidth="1"/>
    <col min="3592" max="3592" width="13.28515625" bestFit="1" customWidth="1"/>
    <col min="3593" max="3593" width="13.5703125" customWidth="1"/>
    <col min="3594" max="3594" width="10.140625" bestFit="1" customWidth="1"/>
    <col min="3595" max="3595" width="11.28515625" bestFit="1" customWidth="1"/>
    <col min="3596" max="3596" width="30.7109375" customWidth="1"/>
    <col min="3599" max="3599" width="11.28515625" customWidth="1"/>
    <col min="3833" max="3833" width="22.7109375" customWidth="1"/>
    <col min="3834" max="3834" width="14.28515625" bestFit="1" customWidth="1"/>
    <col min="3835" max="3835" width="12.7109375" bestFit="1" customWidth="1"/>
    <col min="3836" max="3836" width="12.7109375" customWidth="1"/>
    <col min="3837" max="3837" width="10.140625" customWidth="1"/>
    <col min="3838" max="3838" width="27.28515625" customWidth="1"/>
    <col min="3839" max="3839" width="13.85546875" bestFit="1" customWidth="1"/>
    <col min="3840" max="3840" width="41.5703125" customWidth="1"/>
    <col min="3841" max="3841" width="12.5703125" bestFit="1" customWidth="1"/>
    <col min="3842" max="3842" width="10.42578125" bestFit="1" customWidth="1"/>
    <col min="3843" max="3843" width="44" bestFit="1" customWidth="1"/>
    <col min="3844" max="3844" width="14.140625" bestFit="1" customWidth="1"/>
    <col min="3845" max="3845" width="11.140625" bestFit="1" customWidth="1"/>
    <col min="3846" max="3846" width="14.140625" customWidth="1"/>
    <col min="3847" max="3847" width="15.42578125" bestFit="1" customWidth="1"/>
    <col min="3848" max="3848" width="13.28515625" bestFit="1" customWidth="1"/>
    <col min="3849" max="3849" width="13.5703125" customWidth="1"/>
    <col min="3850" max="3850" width="10.140625" bestFit="1" customWidth="1"/>
    <col min="3851" max="3851" width="11.28515625" bestFit="1" customWidth="1"/>
    <col min="3852" max="3852" width="30.7109375" customWidth="1"/>
    <col min="3855" max="3855" width="11.28515625" customWidth="1"/>
    <col min="4089" max="4089" width="22.7109375" customWidth="1"/>
    <col min="4090" max="4090" width="14.28515625" bestFit="1" customWidth="1"/>
    <col min="4091" max="4091" width="12.7109375" bestFit="1" customWidth="1"/>
    <col min="4092" max="4092" width="12.7109375" customWidth="1"/>
    <col min="4093" max="4093" width="10.140625" customWidth="1"/>
    <col min="4094" max="4094" width="27.28515625" customWidth="1"/>
    <col min="4095" max="4095" width="13.85546875" bestFit="1" customWidth="1"/>
    <col min="4096" max="4096" width="41.5703125" customWidth="1"/>
    <col min="4097" max="4097" width="12.5703125" bestFit="1" customWidth="1"/>
    <col min="4098" max="4098" width="10.42578125" bestFit="1" customWidth="1"/>
    <col min="4099" max="4099" width="44" bestFit="1" customWidth="1"/>
    <col min="4100" max="4100" width="14.140625" bestFit="1" customWidth="1"/>
    <col min="4101" max="4101" width="11.140625" bestFit="1" customWidth="1"/>
    <col min="4102" max="4102" width="14.140625" customWidth="1"/>
    <col min="4103" max="4103" width="15.42578125" bestFit="1" customWidth="1"/>
    <col min="4104" max="4104" width="13.28515625" bestFit="1" customWidth="1"/>
    <col min="4105" max="4105" width="13.5703125" customWidth="1"/>
    <col min="4106" max="4106" width="10.140625" bestFit="1" customWidth="1"/>
    <col min="4107" max="4107" width="11.28515625" bestFit="1" customWidth="1"/>
    <col min="4108" max="4108" width="30.7109375" customWidth="1"/>
    <col min="4111" max="4111" width="11.28515625" customWidth="1"/>
    <col min="4345" max="4345" width="22.7109375" customWidth="1"/>
    <col min="4346" max="4346" width="14.28515625" bestFit="1" customWidth="1"/>
    <col min="4347" max="4347" width="12.7109375" bestFit="1" customWidth="1"/>
    <col min="4348" max="4348" width="12.7109375" customWidth="1"/>
    <col min="4349" max="4349" width="10.140625" customWidth="1"/>
    <col min="4350" max="4350" width="27.28515625" customWidth="1"/>
    <col min="4351" max="4351" width="13.85546875" bestFit="1" customWidth="1"/>
    <col min="4352" max="4352" width="41.5703125" customWidth="1"/>
    <col min="4353" max="4353" width="12.5703125" bestFit="1" customWidth="1"/>
    <col min="4354" max="4354" width="10.42578125" bestFit="1" customWidth="1"/>
    <col min="4355" max="4355" width="44" bestFit="1" customWidth="1"/>
    <col min="4356" max="4356" width="14.140625" bestFit="1" customWidth="1"/>
    <col min="4357" max="4357" width="11.140625" bestFit="1" customWidth="1"/>
    <col min="4358" max="4358" width="14.140625" customWidth="1"/>
    <col min="4359" max="4359" width="15.42578125" bestFit="1" customWidth="1"/>
    <col min="4360" max="4360" width="13.28515625" bestFit="1" customWidth="1"/>
    <col min="4361" max="4361" width="13.5703125" customWidth="1"/>
    <col min="4362" max="4362" width="10.140625" bestFit="1" customWidth="1"/>
    <col min="4363" max="4363" width="11.28515625" bestFit="1" customWidth="1"/>
    <col min="4364" max="4364" width="30.7109375" customWidth="1"/>
    <col min="4367" max="4367" width="11.28515625" customWidth="1"/>
    <col min="4601" max="4601" width="22.7109375" customWidth="1"/>
    <col min="4602" max="4602" width="14.28515625" bestFit="1" customWidth="1"/>
    <col min="4603" max="4603" width="12.7109375" bestFit="1" customWidth="1"/>
    <col min="4604" max="4604" width="12.7109375" customWidth="1"/>
    <col min="4605" max="4605" width="10.140625" customWidth="1"/>
    <col min="4606" max="4606" width="27.28515625" customWidth="1"/>
    <col min="4607" max="4607" width="13.85546875" bestFit="1" customWidth="1"/>
    <col min="4608" max="4608" width="41.5703125" customWidth="1"/>
    <col min="4609" max="4609" width="12.5703125" bestFit="1" customWidth="1"/>
    <col min="4610" max="4610" width="10.42578125" bestFit="1" customWidth="1"/>
    <col min="4611" max="4611" width="44" bestFit="1" customWidth="1"/>
    <col min="4612" max="4612" width="14.140625" bestFit="1" customWidth="1"/>
    <col min="4613" max="4613" width="11.140625" bestFit="1" customWidth="1"/>
    <col min="4614" max="4614" width="14.140625" customWidth="1"/>
    <col min="4615" max="4615" width="15.42578125" bestFit="1" customWidth="1"/>
    <col min="4616" max="4616" width="13.28515625" bestFit="1" customWidth="1"/>
    <col min="4617" max="4617" width="13.5703125" customWidth="1"/>
    <col min="4618" max="4618" width="10.140625" bestFit="1" customWidth="1"/>
    <col min="4619" max="4619" width="11.28515625" bestFit="1" customWidth="1"/>
    <col min="4620" max="4620" width="30.7109375" customWidth="1"/>
    <col min="4623" max="4623" width="11.28515625" customWidth="1"/>
    <col min="4857" max="4857" width="22.7109375" customWidth="1"/>
    <col min="4858" max="4858" width="14.28515625" bestFit="1" customWidth="1"/>
    <col min="4859" max="4859" width="12.7109375" bestFit="1" customWidth="1"/>
    <col min="4860" max="4860" width="12.7109375" customWidth="1"/>
    <col min="4861" max="4861" width="10.140625" customWidth="1"/>
    <col min="4862" max="4862" width="27.28515625" customWidth="1"/>
    <col min="4863" max="4863" width="13.85546875" bestFit="1" customWidth="1"/>
    <col min="4864" max="4864" width="41.5703125" customWidth="1"/>
    <col min="4865" max="4865" width="12.5703125" bestFit="1" customWidth="1"/>
    <col min="4866" max="4866" width="10.42578125" bestFit="1" customWidth="1"/>
    <col min="4867" max="4867" width="44" bestFit="1" customWidth="1"/>
    <col min="4868" max="4868" width="14.140625" bestFit="1" customWidth="1"/>
    <col min="4869" max="4869" width="11.140625" bestFit="1" customWidth="1"/>
    <col min="4870" max="4870" width="14.140625" customWidth="1"/>
    <col min="4871" max="4871" width="15.42578125" bestFit="1" customWidth="1"/>
    <col min="4872" max="4872" width="13.28515625" bestFit="1" customWidth="1"/>
    <col min="4873" max="4873" width="13.5703125" customWidth="1"/>
    <col min="4874" max="4874" width="10.140625" bestFit="1" customWidth="1"/>
    <col min="4875" max="4875" width="11.28515625" bestFit="1" customWidth="1"/>
    <col min="4876" max="4876" width="30.7109375" customWidth="1"/>
    <col min="4879" max="4879" width="11.28515625" customWidth="1"/>
    <col min="5113" max="5113" width="22.7109375" customWidth="1"/>
    <col min="5114" max="5114" width="14.28515625" bestFit="1" customWidth="1"/>
    <col min="5115" max="5115" width="12.7109375" bestFit="1" customWidth="1"/>
    <col min="5116" max="5116" width="12.7109375" customWidth="1"/>
    <col min="5117" max="5117" width="10.140625" customWidth="1"/>
    <col min="5118" max="5118" width="27.28515625" customWidth="1"/>
    <col min="5119" max="5119" width="13.85546875" bestFit="1" customWidth="1"/>
    <col min="5120" max="5120" width="41.5703125" customWidth="1"/>
    <col min="5121" max="5121" width="12.5703125" bestFit="1" customWidth="1"/>
    <col min="5122" max="5122" width="10.42578125" bestFit="1" customWidth="1"/>
    <col min="5123" max="5123" width="44" bestFit="1" customWidth="1"/>
    <col min="5124" max="5124" width="14.140625" bestFit="1" customWidth="1"/>
    <col min="5125" max="5125" width="11.140625" bestFit="1" customWidth="1"/>
    <col min="5126" max="5126" width="14.140625" customWidth="1"/>
    <col min="5127" max="5127" width="15.42578125" bestFit="1" customWidth="1"/>
    <col min="5128" max="5128" width="13.28515625" bestFit="1" customWidth="1"/>
    <col min="5129" max="5129" width="13.5703125" customWidth="1"/>
    <col min="5130" max="5130" width="10.140625" bestFit="1" customWidth="1"/>
    <col min="5131" max="5131" width="11.28515625" bestFit="1" customWidth="1"/>
    <col min="5132" max="5132" width="30.7109375" customWidth="1"/>
    <col min="5135" max="5135" width="11.28515625" customWidth="1"/>
    <col min="5369" max="5369" width="22.7109375" customWidth="1"/>
    <col min="5370" max="5370" width="14.28515625" bestFit="1" customWidth="1"/>
    <col min="5371" max="5371" width="12.7109375" bestFit="1" customWidth="1"/>
    <col min="5372" max="5372" width="12.7109375" customWidth="1"/>
    <col min="5373" max="5373" width="10.140625" customWidth="1"/>
    <col min="5374" max="5374" width="27.28515625" customWidth="1"/>
    <col min="5375" max="5375" width="13.85546875" bestFit="1" customWidth="1"/>
    <col min="5376" max="5376" width="41.5703125" customWidth="1"/>
    <col min="5377" max="5377" width="12.5703125" bestFit="1" customWidth="1"/>
    <col min="5378" max="5378" width="10.42578125" bestFit="1" customWidth="1"/>
    <col min="5379" max="5379" width="44" bestFit="1" customWidth="1"/>
    <col min="5380" max="5380" width="14.140625" bestFit="1" customWidth="1"/>
    <col min="5381" max="5381" width="11.140625" bestFit="1" customWidth="1"/>
    <col min="5382" max="5382" width="14.140625" customWidth="1"/>
    <col min="5383" max="5383" width="15.42578125" bestFit="1" customWidth="1"/>
    <col min="5384" max="5384" width="13.28515625" bestFit="1" customWidth="1"/>
    <col min="5385" max="5385" width="13.5703125" customWidth="1"/>
    <col min="5386" max="5386" width="10.140625" bestFit="1" customWidth="1"/>
    <col min="5387" max="5387" width="11.28515625" bestFit="1" customWidth="1"/>
    <col min="5388" max="5388" width="30.7109375" customWidth="1"/>
    <col min="5391" max="5391" width="11.28515625" customWidth="1"/>
    <col min="5625" max="5625" width="22.7109375" customWidth="1"/>
    <col min="5626" max="5626" width="14.28515625" bestFit="1" customWidth="1"/>
    <col min="5627" max="5627" width="12.7109375" bestFit="1" customWidth="1"/>
    <col min="5628" max="5628" width="12.7109375" customWidth="1"/>
    <col min="5629" max="5629" width="10.140625" customWidth="1"/>
    <col min="5630" max="5630" width="27.28515625" customWidth="1"/>
    <col min="5631" max="5631" width="13.85546875" bestFit="1" customWidth="1"/>
    <col min="5632" max="5632" width="41.5703125" customWidth="1"/>
    <col min="5633" max="5633" width="12.5703125" bestFit="1" customWidth="1"/>
    <col min="5634" max="5634" width="10.42578125" bestFit="1" customWidth="1"/>
    <col min="5635" max="5635" width="44" bestFit="1" customWidth="1"/>
    <col min="5636" max="5636" width="14.140625" bestFit="1" customWidth="1"/>
    <col min="5637" max="5637" width="11.140625" bestFit="1" customWidth="1"/>
    <col min="5638" max="5638" width="14.140625" customWidth="1"/>
    <col min="5639" max="5639" width="15.42578125" bestFit="1" customWidth="1"/>
    <col min="5640" max="5640" width="13.28515625" bestFit="1" customWidth="1"/>
    <col min="5641" max="5641" width="13.5703125" customWidth="1"/>
    <col min="5642" max="5642" width="10.140625" bestFit="1" customWidth="1"/>
    <col min="5643" max="5643" width="11.28515625" bestFit="1" customWidth="1"/>
    <col min="5644" max="5644" width="30.7109375" customWidth="1"/>
    <col min="5647" max="5647" width="11.28515625" customWidth="1"/>
    <col min="5881" max="5881" width="22.7109375" customWidth="1"/>
    <col min="5882" max="5882" width="14.28515625" bestFit="1" customWidth="1"/>
    <col min="5883" max="5883" width="12.7109375" bestFit="1" customWidth="1"/>
    <col min="5884" max="5884" width="12.7109375" customWidth="1"/>
    <col min="5885" max="5885" width="10.140625" customWidth="1"/>
    <col min="5886" max="5886" width="27.28515625" customWidth="1"/>
    <col min="5887" max="5887" width="13.85546875" bestFit="1" customWidth="1"/>
    <col min="5888" max="5888" width="41.5703125" customWidth="1"/>
    <col min="5889" max="5889" width="12.5703125" bestFit="1" customWidth="1"/>
    <col min="5890" max="5890" width="10.42578125" bestFit="1" customWidth="1"/>
    <col min="5891" max="5891" width="44" bestFit="1" customWidth="1"/>
    <col min="5892" max="5892" width="14.140625" bestFit="1" customWidth="1"/>
    <col min="5893" max="5893" width="11.140625" bestFit="1" customWidth="1"/>
    <col min="5894" max="5894" width="14.140625" customWidth="1"/>
    <col min="5895" max="5895" width="15.42578125" bestFit="1" customWidth="1"/>
    <col min="5896" max="5896" width="13.28515625" bestFit="1" customWidth="1"/>
    <col min="5897" max="5897" width="13.5703125" customWidth="1"/>
    <col min="5898" max="5898" width="10.140625" bestFit="1" customWidth="1"/>
    <col min="5899" max="5899" width="11.28515625" bestFit="1" customWidth="1"/>
    <col min="5900" max="5900" width="30.7109375" customWidth="1"/>
    <col min="5903" max="5903" width="11.28515625" customWidth="1"/>
    <col min="6137" max="6137" width="22.7109375" customWidth="1"/>
    <col min="6138" max="6138" width="14.28515625" bestFit="1" customWidth="1"/>
    <col min="6139" max="6139" width="12.7109375" bestFit="1" customWidth="1"/>
    <col min="6140" max="6140" width="12.7109375" customWidth="1"/>
    <col min="6141" max="6141" width="10.140625" customWidth="1"/>
    <col min="6142" max="6142" width="27.28515625" customWidth="1"/>
    <col min="6143" max="6143" width="13.85546875" bestFit="1" customWidth="1"/>
    <col min="6144" max="6144" width="41.5703125" customWidth="1"/>
    <col min="6145" max="6145" width="12.5703125" bestFit="1" customWidth="1"/>
    <col min="6146" max="6146" width="10.42578125" bestFit="1" customWidth="1"/>
    <col min="6147" max="6147" width="44" bestFit="1" customWidth="1"/>
    <col min="6148" max="6148" width="14.140625" bestFit="1" customWidth="1"/>
    <col min="6149" max="6149" width="11.140625" bestFit="1" customWidth="1"/>
    <col min="6150" max="6150" width="14.140625" customWidth="1"/>
    <col min="6151" max="6151" width="15.42578125" bestFit="1" customWidth="1"/>
    <col min="6152" max="6152" width="13.28515625" bestFit="1" customWidth="1"/>
    <col min="6153" max="6153" width="13.5703125" customWidth="1"/>
    <col min="6154" max="6154" width="10.140625" bestFit="1" customWidth="1"/>
    <col min="6155" max="6155" width="11.28515625" bestFit="1" customWidth="1"/>
    <col min="6156" max="6156" width="30.7109375" customWidth="1"/>
    <col min="6159" max="6159" width="11.28515625" customWidth="1"/>
    <col min="6393" max="6393" width="22.7109375" customWidth="1"/>
    <col min="6394" max="6394" width="14.28515625" bestFit="1" customWidth="1"/>
    <col min="6395" max="6395" width="12.7109375" bestFit="1" customWidth="1"/>
    <col min="6396" max="6396" width="12.7109375" customWidth="1"/>
    <col min="6397" max="6397" width="10.140625" customWidth="1"/>
    <col min="6398" max="6398" width="27.28515625" customWidth="1"/>
    <col min="6399" max="6399" width="13.85546875" bestFit="1" customWidth="1"/>
    <col min="6400" max="6400" width="41.5703125" customWidth="1"/>
    <col min="6401" max="6401" width="12.5703125" bestFit="1" customWidth="1"/>
    <col min="6402" max="6402" width="10.42578125" bestFit="1" customWidth="1"/>
    <col min="6403" max="6403" width="44" bestFit="1" customWidth="1"/>
    <col min="6404" max="6404" width="14.140625" bestFit="1" customWidth="1"/>
    <col min="6405" max="6405" width="11.140625" bestFit="1" customWidth="1"/>
    <col min="6406" max="6406" width="14.140625" customWidth="1"/>
    <col min="6407" max="6407" width="15.42578125" bestFit="1" customWidth="1"/>
    <col min="6408" max="6408" width="13.28515625" bestFit="1" customWidth="1"/>
    <col min="6409" max="6409" width="13.5703125" customWidth="1"/>
    <col min="6410" max="6410" width="10.140625" bestFit="1" customWidth="1"/>
    <col min="6411" max="6411" width="11.28515625" bestFit="1" customWidth="1"/>
    <col min="6412" max="6412" width="30.7109375" customWidth="1"/>
    <col min="6415" max="6415" width="11.28515625" customWidth="1"/>
    <col min="6649" max="6649" width="22.7109375" customWidth="1"/>
    <col min="6650" max="6650" width="14.28515625" bestFit="1" customWidth="1"/>
    <col min="6651" max="6651" width="12.7109375" bestFit="1" customWidth="1"/>
    <col min="6652" max="6652" width="12.7109375" customWidth="1"/>
    <col min="6653" max="6653" width="10.140625" customWidth="1"/>
    <col min="6654" max="6654" width="27.28515625" customWidth="1"/>
    <col min="6655" max="6655" width="13.85546875" bestFit="1" customWidth="1"/>
    <col min="6656" max="6656" width="41.5703125" customWidth="1"/>
    <col min="6657" max="6657" width="12.5703125" bestFit="1" customWidth="1"/>
    <col min="6658" max="6658" width="10.42578125" bestFit="1" customWidth="1"/>
    <col min="6659" max="6659" width="44" bestFit="1" customWidth="1"/>
    <col min="6660" max="6660" width="14.140625" bestFit="1" customWidth="1"/>
    <col min="6661" max="6661" width="11.140625" bestFit="1" customWidth="1"/>
    <col min="6662" max="6662" width="14.140625" customWidth="1"/>
    <col min="6663" max="6663" width="15.42578125" bestFit="1" customWidth="1"/>
    <col min="6664" max="6664" width="13.28515625" bestFit="1" customWidth="1"/>
    <col min="6665" max="6665" width="13.5703125" customWidth="1"/>
    <col min="6666" max="6666" width="10.140625" bestFit="1" customWidth="1"/>
    <col min="6667" max="6667" width="11.28515625" bestFit="1" customWidth="1"/>
    <col min="6668" max="6668" width="30.7109375" customWidth="1"/>
    <col min="6671" max="6671" width="11.28515625" customWidth="1"/>
    <col min="6905" max="6905" width="22.7109375" customWidth="1"/>
    <col min="6906" max="6906" width="14.28515625" bestFit="1" customWidth="1"/>
    <col min="6907" max="6907" width="12.7109375" bestFit="1" customWidth="1"/>
    <col min="6908" max="6908" width="12.7109375" customWidth="1"/>
    <col min="6909" max="6909" width="10.140625" customWidth="1"/>
    <col min="6910" max="6910" width="27.28515625" customWidth="1"/>
    <col min="6911" max="6911" width="13.85546875" bestFit="1" customWidth="1"/>
    <col min="6912" max="6912" width="41.5703125" customWidth="1"/>
    <col min="6913" max="6913" width="12.5703125" bestFit="1" customWidth="1"/>
    <col min="6914" max="6914" width="10.42578125" bestFit="1" customWidth="1"/>
    <col min="6915" max="6915" width="44" bestFit="1" customWidth="1"/>
    <col min="6916" max="6916" width="14.140625" bestFit="1" customWidth="1"/>
    <col min="6917" max="6917" width="11.140625" bestFit="1" customWidth="1"/>
    <col min="6918" max="6918" width="14.140625" customWidth="1"/>
    <col min="6919" max="6919" width="15.42578125" bestFit="1" customWidth="1"/>
    <col min="6920" max="6920" width="13.28515625" bestFit="1" customWidth="1"/>
    <col min="6921" max="6921" width="13.5703125" customWidth="1"/>
    <col min="6922" max="6922" width="10.140625" bestFit="1" customWidth="1"/>
    <col min="6923" max="6923" width="11.28515625" bestFit="1" customWidth="1"/>
    <col min="6924" max="6924" width="30.7109375" customWidth="1"/>
    <col min="6927" max="6927" width="11.28515625" customWidth="1"/>
    <col min="7161" max="7161" width="22.7109375" customWidth="1"/>
    <col min="7162" max="7162" width="14.28515625" bestFit="1" customWidth="1"/>
    <col min="7163" max="7163" width="12.7109375" bestFit="1" customWidth="1"/>
    <col min="7164" max="7164" width="12.7109375" customWidth="1"/>
    <col min="7165" max="7165" width="10.140625" customWidth="1"/>
    <col min="7166" max="7166" width="27.28515625" customWidth="1"/>
    <col min="7167" max="7167" width="13.85546875" bestFit="1" customWidth="1"/>
    <col min="7168" max="7168" width="41.5703125" customWidth="1"/>
    <col min="7169" max="7169" width="12.5703125" bestFit="1" customWidth="1"/>
    <col min="7170" max="7170" width="10.42578125" bestFit="1" customWidth="1"/>
    <col min="7171" max="7171" width="44" bestFit="1" customWidth="1"/>
    <col min="7172" max="7172" width="14.140625" bestFit="1" customWidth="1"/>
    <col min="7173" max="7173" width="11.140625" bestFit="1" customWidth="1"/>
    <col min="7174" max="7174" width="14.140625" customWidth="1"/>
    <col min="7175" max="7175" width="15.42578125" bestFit="1" customWidth="1"/>
    <col min="7176" max="7176" width="13.28515625" bestFit="1" customWidth="1"/>
    <col min="7177" max="7177" width="13.5703125" customWidth="1"/>
    <col min="7178" max="7178" width="10.140625" bestFit="1" customWidth="1"/>
    <col min="7179" max="7179" width="11.28515625" bestFit="1" customWidth="1"/>
    <col min="7180" max="7180" width="30.7109375" customWidth="1"/>
    <col min="7183" max="7183" width="11.28515625" customWidth="1"/>
    <col min="7417" max="7417" width="22.7109375" customWidth="1"/>
    <col min="7418" max="7418" width="14.28515625" bestFit="1" customWidth="1"/>
    <col min="7419" max="7419" width="12.7109375" bestFit="1" customWidth="1"/>
    <col min="7420" max="7420" width="12.7109375" customWidth="1"/>
    <col min="7421" max="7421" width="10.140625" customWidth="1"/>
    <col min="7422" max="7422" width="27.28515625" customWidth="1"/>
    <col min="7423" max="7423" width="13.85546875" bestFit="1" customWidth="1"/>
    <col min="7424" max="7424" width="41.5703125" customWidth="1"/>
    <col min="7425" max="7425" width="12.5703125" bestFit="1" customWidth="1"/>
    <col min="7426" max="7426" width="10.42578125" bestFit="1" customWidth="1"/>
    <col min="7427" max="7427" width="44" bestFit="1" customWidth="1"/>
    <col min="7428" max="7428" width="14.140625" bestFit="1" customWidth="1"/>
    <col min="7429" max="7429" width="11.140625" bestFit="1" customWidth="1"/>
    <col min="7430" max="7430" width="14.140625" customWidth="1"/>
    <col min="7431" max="7431" width="15.42578125" bestFit="1" customWidth="1"/>
    <col min="7432" max="7432" width="13.28515625" bestFit="1" customWidth="1"/>
    <col min="7433" max="7433" width="13.5703125" customWidth="1"/>
    <col min="7434" max="7434" width="10.140625" bestFit="1" customWidth="1"/>
    <col min="7435" max="7435" width="11.28515625" bestFit="1" customWidth="1"/>
    <col min="7436" max="7436" width="30.7109375" customWidth="1"/>
    <col min="7439" max="7439" width="11.28515625" customWidth="1"/>
    <col min="7673" max="7673" width="22.7109375" customWidth="1"/>
    <col min="7674" max="7674" width="14.28515625" bestFit="1" customWidth="1"/>
    <col min="7675" max="7675" width="12.7109375" bestFit="1" customWidth="1"/>
    <col min="7676" max="7676" width="12.7109375" customWidth="1"/>
    <col min="7677" max="7677" width="10.140625" customWidth="1"/>
    <col min="7678" max="7678" width="27.28515625" customWidth="1"/>
    <col min="7679" max="7679" width="13.85546875" bestFit="1" customWidth="1"/>
    <col min="7680" max="7680" width="41.5703125" customWidth="1"/>
    <col min="7681" max="7681" width="12.5703125" bestFit="1" customWidth="1"/>
    <col min="7682" max="7682" width="10.42578125" bestFit="1" customWidth="1"/>
    <col min="7683" max="7683" width="44" bestFit="1" customWidth="1"/>
    <col min="7684" max="7684" width="14.140625" bestFit="1" customWidth="1"/>
    <col min="7685" max="7685" width="11.140625" bestFit="1" customWidth="1"/>
    <col min="7686" max="7686" width="14.140625" customWidth="1"/>
    <col min="7687" max="7687" width="15.42578125" bestFit="1" customWidth="1"/>
    <col min="7688" max="7688" width="13.28515625" bestFit="1" customWidth="1"/>
    <col min="7689" max="7689" width="13.5703125" customWidth="1"/>
    <col min="7690" max="7690" width="10.140625" bestFit="1" customWidth="1"/>
    <col min="7691" max="7691" width="11.28515625" bestFit="1" customWidth="1"/>
    <col min="7692" max="7692" width="30.7109375" customWidth="1"/>
    <col min="7695" max="7695" width="11.28515625" customWidth="1"/>
    <col min="7929" max="7929" width="22.7109375" customWidth="1"/>
    <col min="7930" max="7930" width="14.28515625" bestFit="1" customWidth="1"/>
    <col min="7931" max="7931" width="12.7109375" bestFit="1" customWidth="1"/>
    <col min="7932" max="7932" width="12.7109375" customWidth="1"/>
    <col min="7933" max="7933" width="10.140625" customWidth="1"/>
    <col min="7934" max="7934" width="27.28515625" customWidth="1"/>
    <col min="7935" max="7935" width="13.85546875" bestFit="1" customWidth="1"/>
    <col min="7936" max="7936" width="41.5703125" customWidth="1"/>
    <col min="7937" max="7937" width="12.5703125" bestFit="1" customWidth="1"/>
    <col min="7938" max="7938" width="10.42578125" bestFit="1" customWidth="1"/>
    <col min="7939" max="7939" width="44" bestFit="1" customWidth="1"/>
    <col min="7940" max="7940" width="14.140625" bestFit="1" customWidth="1"/>
    <col min="7941" max="7941" width="11.140625" bestFit="1" customWidth="1"/>
    <col min="7942" max="7942" width="14.140625" customWidth="1"/>
    <col min="7943" max="7943" width="15.42578125" bestFit="1" customWidth="1"/>
    <col min="7944" max="7944" width="13.28515625" bestFit="1" customWidth="1"/>
    <col min="7945" max="7945" width="13.5703125" customWidth="1"/>
    <col min="7946" max="7946" width="10.140625" bestFit="1" customWidth="1"/>
    <col min="7947" max="7947" width="11.28515625" bestFit="1" customWidth="1"/>
    <col min="7948" max="7948" width="30.7109375" customWidth="1"/>
    <col min="7951" max="7951" width="11.28515625" customWidth="1"/>
    <col min="8185" max="8185" width="22.7109375" customWidth="1"/>
    <col min="8186" max="8186" width="14.28515625" bestFit="1" customWidth="1"/>
    <col min="8187" max="8187" width="12.7109375" bestFit="1" customWidth="1"/>
    <col min="8188" max="8188" width="12.7109375" customWidth="1"/>
    <col min="8189" max="8189" width="10.140625" customWidth="1"/>
    <col min="8190" max="8190" width="27.28515625" customWidth="1"/>
    <col min="8191" max="8191" width="13.85546875" bestFit="1" customWidth="1"/>
    <col min="8192" max="8192" width="41.5703125" customWidth="1"/>
    <col min="8193" max="8193" width="12.5703125" bestFit="1" customWidth="1"/>
    <col min="8194" max="8194" width="10.42578125" bestFit="1" customWidth="1"/>
    <col min="8195" max="8195" width="44" bestFit="1" customWidth="1"/>
    <col min="8196" max="8196" width="14.140625" bestFit="1" customWidth="1"/>
    <col min="8197" max="8197" width="11.140625" bestFit="1" customWidth="1"/>
    <col min="8198" max="8198" width="14.140625" customWidth="1"/>
    <col min="8199" max="8199" width="15.42578125" bestFit="1" customWidth="1"/>
    <col min="8200" max="8200" width="13.28515625" bestFit="1" customWidth="1"/>
    <col min="8201" max="8201" width="13.5703125" customWidth="1"/>
    <col min="8202" max="8202" width="10.140625" bestFit="1" customWidth="1"/>
    <col min="8203" max="8203" width="11.28515625" bestFit="1" customWidth="1"/>
    <col min="8204" max="8204" width="30.7109375" customWidth="1"/>
    <col min="8207" max="8207" width="11.28515625" customWidth="1"/>
    <col min="8441" max="8441" width="22.7109375" customWidth="1"/>
    <col min="8442" max="8442" width="14.28515625" bestFit="1" customWidth="1"/>
    <col min="8443" max="8443" width="12.7109375" bestFit="1" customWidth="1"/>
    <col min="8444" max="8444" width="12.7109375" customWidth="1"/>
    <col min="8445" max="8445" width="10.140625" customWidth="1"/>
    <col min="8446" max="8446" width="27.28515625" customWidth="1"/>
    <col min="8447" max="8447" width="13.85546875" bestFit="1" customWidth="1"/>
    <col min="8448" max="8448" width="41.5703125" customWidth="1"/>
    <col min="8449" max="8449" width="12.5703125" bestFit="1" customWidth="1"/>
    <col min="8450" max="8450" width="10.42578125" bestFit="1" customWidth="1"/>
    <col min="8451" max="8451" width="44" bestFit="1" customWidth="1"/>
    <col min="8452" max="8452" width="14.140625" bestFit="1" customWidth="1"/>
    <col min="8453" max="8453" width="11.140625" bestFit="1" customWidth="1"/>
    <col min="8454" max="8454" width="14.140625" customWidth="1"/>
    <col min="8455" max="8455" width="15.42578125" bestFit="1" customWidth="1"/>
    <col min="8456" max="8456" width="13.28515625" bestFit="1" customWidth="1"/>
    <col min="8457" max="8457" width="13.5703125" customWidth="1"/>
    <col min="8458" max="8458" width="10.140625" bestFit="1" customWidth="1"/>
    <col min="8459" max="8459" width="11.28515625" bestFit="1" customWidth="1"/>
    <col min="8460" max="8460" width="30.7109375" customWidth="1"/>
    <col min="8463" max="8463" width="11.28515625" customWidth="1"/>
    <col min="8697" max="8697" width="22.7109375" customWidth="1"/>
    <col min="8698" max="8698" width="14.28515625" bestFit="1" customWidth="1"/>
    <col min="8699" max="8699" width="12.7109375" bestFit="1" customWidth="1"/>
    <col min="8700" max="8700" width="12.7109375" customWidth="1"/>
    <col min="8701" max="8701" width="10.140625" customWidth="1"/>
    <col min="8702" max="8702" width="27.28515625" customWidth="1"/>
    <col min="8703" max="8703" width="13.85546875" bestFit="1" customWidth="1"/>
    <col min="8704" max="8704" width="41.5703125" customWidth="1"/>
    <col min="8705" max="8705" width="12.5703125" bestFit="1" customWidth="1"/>
    <col min="8706" max="8706" width="10.42578125" bestFit="1" customWidth="1"/>
    <col min="8707" max="8707" width="44" bestFit="1" customWidth="1"/>
    <col min="8708" max="8708" width="14.140625" bestFit="1" customWidth="1"/>
    <col min="8709" max="8709" width="11.140625" bestFit="1" customWidth="1"/>
    <col min="8710" max="8710" width="14.140625" customWidth="1"/>
    <col min="8711" max="8711" width="15.42578125" bestFit="1" customWidth="1"/>
    <col min="8712" max="8712" width="13.28515625" bestFit="1" customWidth="1"/>
    <col min="8713" max="8713" width="13.5703125" customWidth="1"/>
    <col min="8714" max="8714" width="10.140625" bestFit="1" customWidth="1"/>
    <col min="8715" max="8715" width="11.28515625" bestFit="1" customWidth="1"/>
    <col min="8716" max="8716" width="30.7109375" customWidth="1"/>
    <col min="8719" max="8719" width="11.28515625" customWidth="1"/>
    <col min="8953" max="8953" width="22.7109375" customWidth="1"/>
    <col min="8954" max="8954" width="14.28515625" bestFit="1" customWidth="1"/>
    <col min="8955" max="8955" width="12.7109375" bestFit="1" customWidth="1"/>
    <col min="8956" max="8956" width="12.7109375" customWidth="1"/>
    <col min="8957" max="8957" width="10.140625" customWidth="1"/>
    <col min="8958" max="8958" width="27.28515625" customWidth="1"/>
    <col min="8959" max="8959" width="13.85546875" bestFit="1" customWidth="1"/>
    <col min="8960" max="8960" width="41.5703125" customWidth="1"/>
    <col min="8961" max="8961" width="12.5703125" bestFit="1" customWidth="1"/>
    <col min="8962" max="8962" width="10.42578125" bestFit="1" customWidth="1"/>
    <col min="8963" max="8963" width="44" bestFit="1" customWidth="1"/>
    <col min="8964" max="8964" width="14.140625" bestFit="1" customWidth="1"/>
    <col min="8965" max="8965" width="11.140625" bestFit="1" customWidth="1"/>
    <col min="8966" max="8966" width="14.140625" customWidth="1"/>
    <col min="8967" max="8967" width="15.42578125" bestFit="1" customWidth="1"/>
    <col min="8968" max="8968" width="13.28515625" bestFit="1" customWidth="1"/>
    <col min="8969" max="8969" width="13.5703125" customWidth="1"/>
    <col min="8970" max="8970" width="10.140625" bestFit="1" customWidth="1"/>
    <col min="8971" max="8971" width="11.28515625" bestFit="1" customWidth="1"/>
    <col min="8972" max="8972" width="30.7109375" customWidth="1"/>
    <col min="8975" max="8975" width="11.28515625" customWidth="1"/>
    <col min="9209" max="9209" width="22.7109375" customWidth="1"/>
    <col min="9210" max="9210" width="14.28515625" bestFit="1" customWidth="1"/>
    <col min="9211" max="9211" width="12.7109375" bestFit="1" customWidth="1"/>
    <col min="9212" max="9212" width="12.7109375" customWidth="1"/>
    <col min="9213" max="9213" width="10.140625" customWidth="1"/>
    <col min="9214" max="9214" width="27.28515625" customWidth="1"/>
    <col min="9215" max="9215" width="13.85546875" bestFit="1" customWidth="1"/>
    <col min="9216" max="9216" width="41.5703125" customWidth="1"/>
    <col min="9217" max="9217" width="12.5703125" bestFit="1" customWidth="1"/>
    <col min="9218" max="9218" width="10.42578125" bestFit="1" customWidth="1"/>
    <col min="9219" max="9219" width="44" bestFit="1" customWidth="1"/>
    <col min="9220" max="9220" width="14.140625" bestFit="1" customWidth="1"/>
    <col min="9221" max="9221" width="11.140625" bestFit="1" customWidth="1"/>
    <col min="9222" max="9222" width="14.140625" customWidth="1"/>
    <col min="9223" max="9223" width="15.42578125" bestFit="1" customWidth="1"/>
    <col min="9224" max="9224" width="13.28515625" bestFit="1" customWidth="1"/>
    <col min="9225" max="9225" width="13.5703125" customWidth="1"/>
    <col min="9226" max="9226" width="10.140625" bestFit="1" customWidth="1"/>
    <col min="9227" max="9227" width="11.28515625" bestFit="1" customWidth="1"/>
    <col min="9228" max="9228" width="30.7109375" customWidth="1"/>
    <col min="9231" max="9231" width="11.28515625" customWidth="1"/>
    <col min="9465" max="9465" width="22.7109375" customWidth="1"/>
    <col min="9466" max="9466" width="14.28515625" bestFit="1" customWidth="1"/>
    <col min="9467" max="9467" width="12.7109375" bestFit="1" customWidth="1"/>
    <col min="9468" max="9468" width="12.7109375" customWidth="1"/>
    <col min="9469" max="9469" width="10.140625" customWidth="1"/>
    <col min="9470" max="9470" width="27.28515625" customWidth="1"/>
    <col min="9471" max="9471" width="13.85546875" bestFit="1" customWidth="1"/>
    <col min="9472" max="9472" width="41.5703125" customWidth="1"/>
    <col min="9473" max="9473" width="12.5703125" bestFit="1" customWidth="1"/>
    <col min="9474" max="9474" width="10.42578125" bestFit="1" customWidth="1"/>
    <col min="9475" max="9475" width="44" bestFit="1" customWidth="1"/>
    <col min="9476" max="9476" width="14.140625" bestFit="1" customWidth="1"/>
    <col min="9477" max="9477" width="11.140625" bestFit="1" customWidth="1"/>
    <col min="9478" max="9478" width="14.140625" customWidth="1"/>
    <col min="9479" max="9479" width="15.42578125" bestFit="1" customWidth="1"/>
    <col min="9480" max="9480" width="13.28515625" bestFit="1" customWidth="1"/>
    <col min="9481" max="9481" width="13.5703125" customWidth="1"/>
    <col min="9482" max="9482" width="10.140625" bestFit="1" customWidth="1"/>
    <col min="9483" max="9483" width="11.28515625" bestFit="1" customWidth="1"/>
    <col min="9484" max="9484" width="30.7109375" customWidth="1"/>
    <col min="9487" max="9487" width="11.28515625" customWidth="1"/>
    <col min="9721" max="9721" width="22.7109375" customWidth="1"/>
    <col min="9722" max="9722" width="14.28515625" bestFit="1" customWidth="1"/>
    <col min="9723" max="9723" width="12.7109375" bestFit="1" customWidth="1"/>
    <col min="9724" max="9724" width="12.7109375" customWidth="1"/>
    <col min="9725" max="9725" width="10.140625" customWidth="1"/>
    <col min="9726" max="9726" width="27.28515625" customWidth="1"/>
    <col min="9727" max="9727" width="13.85546875" bestFit="1" customWidth="1"/>
    <col min="9728" max="9728" width="41.5703125" customWidth="1"/>
    <col min="9729" max="9729" width="12.5703125" bestFit="1" customWidth="1"/>
    <col min="9730" max="9730" width="10.42578125" bestFit="1" customWidth="1"/>
    <col min="9731" max="9731" width="44" bestFit="1" customWidth="1"/>
    <col min="9732" max="9732" width="14.140625" bestFit="1" customWidth="1"/>
    <col min="9733" max="9733" width="11.140625" bestFit="1" customWidth="1"/>
    <col min="9734" max="9734" width="14.140625" customWidth="1"/>
    <col min="9735" max="9735" width="15.42578125" bestFit="1" customWidth="1"/>
    <col min="9736" max="9736" width="13.28515625" bestFit="1" customWidth="1"/>
    <col min="9737" max="9737" width="13.5703125" customWidth="1"/>
    <col min="9738" max="9738" width="10.140625" bestFit="1" customWidth="1"/>
    <col min="9739" max="9739" width="11.28515625" bestFit="1" customWidth="1"/>
    <col min="9740" max="9740" width="30.7109375" customWidth="1"/>
    <col min="9743" max="9743" width="11.28515625" customWidth="1"/>
    <col min="9977" max="9977" width="22.7109375" customWidth="1"/>
    <col min="9978" max="9978" width="14.28515625" bestFit="1" customWidth="1"/>
    <col min="9979" max="9979" width="12.7109375" bestFit="1" customWidth="1"/>
    <col min="9980" max="9980" width="12.7109375" customWidth="1"/>
    <col min="9981" max="9981" width="10.140625" customWidth="1"/>
    <col min="9982" max="9982" width="27.28515625" customWidth="1"/>
    <col min="9983" max="9983" width="13.85546875" bestFit="1" customWidth="1"/>
    <col min="9984" max="9984" width="41.5703125" customWidth="1"/>
    <col min="9985" max="9985" width="12.5703125" bestFit="1" customWidth="1"/>
    <col min="9986" max="9986" width="10.42578125" bestFit="1" customWidth="1"/>
    <col min="9987" max="9987" width="44" bestFit="1" customWidth="1"/>
    <col min="9988" max="9988" width="14.140625" bestFit="1" customWidth="1"/>
    <col min="9989" max="9989" width="11.140625" bestFit="1" customWidth="1"/>
    <col min="9990" max="9990" width="14.140625" customWidth="1"/>
    <col min="9991" max="9991" width="15.42578125" bestFit="1" customWidth="1"/>
    <col min="9992" max="9992" width="13.28515625" bestFit="1" customWidth="1"/>
    <col min="9993" max="9993" width="13.5703125" customWidth="1"/>
    <col min="9994" max="9994" width="10.140625" bestFit="1" customWidth="1"/>
    <col min="9995" max="9995" width="11.28515625" bestFit="1" customWidth="1"/>
    <col min="9996" max="9996" width="30.7109375" customWidth="1"/>
    <col min="9999" max="9999" width="11.28515625" customWidth="1"/>
    <col min="10233" max="10233" width="22.7109375" customWidth="1"/>
    <col min="10234" max="10234" width="14.28515625" bestFit="1" customWidth="1"/>
    <col min="10235" max="10235" width="12.7109375" bestFit="1" customWidth="1"/>
    <col min="10236" max="10236" width="12.7109375" customWidth="1"/>
    <col min="10237" max="10237" width="10.140625" customWidth="1"/>
    <col min="10238" max="10238" width="27.28515625" customWidth="1"/>
    <col min="10239" max="10239" width="13.85546875" bestFit="1" customWidth="1"/>
    <col min="10240" max="10240" width="41.5703125" customWidth="1"/>
    <col min="10241" max="10241" width="12.5703125" bestFit="1" customWidth="1"/>
    <col min="10242" max="10242" width="10.42578125" bestFit="1" customWidth="1"/>
    <col min="10243" max="10243" width="44" bestFit="1" customWidth="1"/>
    <col min="10244" max="10244" width="14.140625" bestFit="1" customWidth="1"/>
    <col min="10245" max="10245" width="11.140625" bestFit="1" customWidth="1"/>
    <col min="10246" max="10246" width="14.140625" customWidth="1"/>
    <col min="10247" max="10247" width="15.42578125" bestFit="1" customWidth="1"/>
    <col min="10248" max="10248" width="13.28515625" bestFit="1" customWidth="1"/>
    <col min="10249" max="10249" width="13.5703125" customWidth="1"/>
    <col min="10250" max="10250" width="10.140625" bestFit="1" customWidth="1"/>
    <col min="10251" max="10251" width="11.28515625" bestFit="1" customWidth="1"/>
    <col min="10252" max="10252" width="30.7109375" customWidth="1"/>
    <col min="10255" max="10255" width="11.28515625" customWidth="1"/>
    <col min="10489" max="10489" width="22.7109375" customWidth="1"/>
    <col min="10490" max="10490" width="14.28515625" bestFit="1" customWidth="1"/>
    <col min="10491" max="10491" width="12.7109375" bestFit="1" customWidth="1"/>
    <col min="10492" max="10492" width="12.7109375" customWidth="1"/>
    <col min="10493" max="10493" width="10.140625" customWidth="1"/>
    <col min="10494" max="10494" width="27.28515625" customWidth="1"/>
    <col min="10495" max="10495" width="13.85546875" bestFit="1" customWidth="1"/>
    <col min="10496" max="10496" width="41.5703125" customWidth="1"/>
    <col min="10497" max="10497" width="12.5703125" bestFit="1" customWidth="1"/>
    <col min="10498" max="10498" width="10.42578125" bestFit="1" customWidth="1"/>
    <col min="10499" max="10499" width="44" bestFit="1" customWidth="1"/>
    <col min="10500" max="10500" width="14.140625" bestFit="1" customWidth="1"/>
    <col min="10501" max="10501" width="11.140625" bestFit="1" customWidth="1"/>
    <col min="10502" max="10502" width="14.140625" customWidth="1"/>
    <col min="10503" max="10503" width="15.42578125" bestFit="1" customWidth="1"/>
    <col min="10504" max="10504" width="13.28515625" bestFit="1" customWidth="1"/>
    <col min="10505" max="10505" width="13.5703125" customWidth="1"/>
    <col min="10506" max="10506" width="10.140625" bestFit="1" customWidth="1"/>
    <col min="10507" max="10507" width="11.28515625" bestFit="1" customWidth="1"/>
    <col min="10508" max="10508" width="30.7109375" customWidth="1"/>
    <col min="10511" max="10511" width="11.28515625" customWidth="1"/>
    <col min="10745" max="10745" width="22.7109375" customWidth="1"/>
    <col min="10746" max="10746" width="14.28515625" bestFit="1" customWidth="1"/>
    <col min="10747" max="10747" width="12.7109375" bestFit="1" customWidth="1"/>
    <col min="10748" max="10748" width="12.7109375" customWidth="1"/>
    <col min="10749" max="10749" width="10.140625" customWidth="1"/>
    <col min="10750" max="10750" width="27.28515625" customWidth="1"/>
    <col min="10751" max="10751" width="13.85546875" bestFit="1" customWidth="1"/>
    <col min="10752" max="10752" width="41.5703125" customWidth="1"/>
    <col min="10753" max="10753" width="12.5703125" bestFit="1" customWidth="1"/>
    <col min="10754" max="10754" width="10.42578125" bestFit="1" customWidth="1"/>
    <col min="10755" max="10755" width="44" bestFit="1" customWidth="1"/>
    <col min="10756" max="10756" width="14.140625" bestFit="1" customWidth="1"/>
    <col min="10757" max="10757" width="11.140625" bestFit="1" customWidth="1"/>
    <col min="10758" max="10758" width="14.140625" customWidth="1"/>
    <col min="10759" max="10759" width="15.42578125" bestFit="1" customWidth="1"/>
    <col min="10760" max="10760" width="13.28515625" bestFit="1" customWidth="1"/>
    <col min="10761" max="10761" width="13.5703125" customWidth="1"/>
    <col min="10762" max="10762" width="10.140625" bestFit="1" customWidth="1"/>
    <col min="10763" max="10763" width="11.28515625" bestFit="1" customWidth="1"/>
    <col min="10764" max="10764" width="30.7109375" customWidth="1"/>
    <col min="10767" max="10767" width="11.28515625" customWidth="1"/>
    <col min="11001" max="11001" width="22.7109375" customWidth="1"/>
    <col min="11002" max="11002" width="14.28515625" bestFit="1" customWidth="1"/>
    <col min="11003" max="11003" width="12.7109375" bestFit="1" customWidth="1"/>
    <col min="11004" max="11004" width="12.7109375" customWidth="1"/>
    <col min="11005" max="11005" width="10.140625" customWidth="1"/>
    <col min="11006" max="11006" width="27.28515625" customWidth="1"/>
    <col min="11007" max="11007" width="13.85546875" bestFit="1" customWidth="1"/>
    <col min="11008" max="11008" width="41.5703125" customWidth="1"/>
    <col min="11009" max="11009" width="12.5703125" bestFit="1" customWidth="1"/>
    <col min="11010" max="11010" width="10.42578125" bestFit="1" customWidth="1"/>
    <col min="11011" max="11011" width="44" bestFit="1" customWidth="1"/>
    <col min="11012" max="11012" width="14.140625" bestFit="1" customWidth="1"/>
    <col min="11013" max="11013" width="11.140625" bestFit="1" customWidth="1"/>
    <col min="11014" max="11014" width="14.140625" customWidth="1"/>
    <col min="11015" max="11015" width="15.42578125" bestFit="1" customWidth="1"/>
    <col min="11016" max="11016" width="13.28515625" bestFit="1" customWidth="1"/>
    <col min="11017" max="11017" width="13.5703125" customWidth="1"/>
    <col min="11018" max="11018" width="10.140625" bestFit="1" customWidth="1"/>
    <col min="11019" max="11019" width="11.28515625" bestFit="1" customWidth="1"/>
    <col min="11020" max="11020" width="30.7109375" customWidth="1"/>
    <col min="11023" max="11023" width="11.28515625" customWidth="1"/>
    <col min="11257" max="11257" width="22.7109375" customWidth="1"/>
    <col min="11258" max="11258" width="14.28515625" bestFit="1" customWidth="1"/>
    <col min="11259" max="11259" width="12.7109375" bestFit="1" customWidth="1"/>
    <col min="11260" max="11260" width="12.7109375" customWidth="1"/>
    <col min="11261" max="11261" width="10.140625" customWidth="1"/>
    <col min="11262" max="11262" width="27.28515625" customWidth="1"/>
    <col min="11263" max="11263" width="13.85546875" bestFit="1" customWidth="1"/>
    <col min="11264" max="11264" width="41.5703125" customWidth="1"/>
    <col min="11265" max="11265" width="12.5703125" bestFit="1" customWidth="1"/>
    <col min="11266" max="11266" width="10.42578125" bestFit="1" customWidth="1"/>
    <col min="11267" max="11267" width="44" bestFit="1" customWidth="1"/>
    <col min="11268" max="11268" width="14.140625" bestFit="1" customWidth="1"/>
    <col min="11269" max="11269" width="11.140625" bestFit="1" customWidth="1"/>
    <col min="11270" max="11270" width="14.140625" customWidth="1"/>
    <col min="11271" max="11271" width="15.42578125" bestFit="1" customWidth="1"/>
    <col min="11272" max="11272" width="13.28515625" bestFit="1" customWidth="1"/>
    <col min="11273" max="11273" width="13.5703125" customWidth="1"/>
    <col min="11274" max="11274" width="10.140625" bestFit="1" customWidth="1"/>
    <col min="11275" max="11275" width="11.28515625" bestFit="1" customWidth="1"/>
    <col min="11276" max="11276" width="30.7109375" customWidth="1"/>
    <col min="11279" max="11279" width="11.28515625" customWidth="1"/>
    <col min="11513" max="11513" width="22.7109375" customWidth="1"/>
    <col min="11514" max="11514" width="14.28515625" bestFit="1" customWidth="1"/>
    <col min="11515" max="11515" width="12.7109375" bestFit="1" customWidth="1"/>
    <col min="11516" max="11516" width="12.7109375" customWidth="1"/>
    <col min="11517" max="11517" width="10.140625" customWidth="1"/>
    <col min="11518" max="11518" width="27.28515625" customWidth="1"/>
    <col min="11519" max="11519" width="13.85546875" bestFit="1" customWidth="1"/>
    <col min="11520" max="11520" width="41.5703125" customWidth="1"/>
    <col min="11521" max="11521" width="12.5703125" bestFit="1" customWidth="1"/>
    <col min="11522" max="11522" width="10.42578125" bestFit="1" customWidth="1"/>
    <col min="11523" max="11523" width="44" bestFit="1" customWidth="1"/>
    <col min="11524" max="11524" width="14.140625" bestFit="1" customWidth="1"/>
    <col min="11525" max="11525" width="11.140625" bestFit="1" customWidth="1"/>
    <col min="11526" max="11526" width="14.140625" customWidth="1"/>
    <col min="11527" max="11527" width="15.42578125" bestFit="1" customWidth="1"/>
    <col min="11528" max="11528" width="13.28515625" bestFit="1" customWidth="1"/>
    <col min="11529" max="11529" width="13.5703125" customWidth="1"/>
    <col min="11530" max="11530" width="10.140625" bestFit="1" customWidth="1"/>
    <col min="11531" max="11531" width="11.28515625" bestFit="1" customWidth="1"/>
    <col min="11532" max="11532" width="30.7109375" customWidth="1"/>
    <col min="11535" max="11535" width="11.28515625" customWidth="1"/>
    <col min="11769" max="11769" width="22.7109375" customWidth="1"/>
    <col min="11770" max="11770" width="14.28515625" bestFit="1" customWidth="1"/>
    <col min="11771" max="11771" width="12.7109375" bestFit="1" customWidth="1"/>
    <col min="11772" max="11772" width="12.7109375" customWidth="1"/>
    <col min="11773" max="11773" width="10.140625" customWidth="1"/>
    <col min="11774" max="11774" width="27.28515625" customWidth="1"/>
    <col min="11775" max="11775" width="13.85546875" bestFit="1" customWidth="1"/>
    <col min="11776" max="11776" width="41.5703125" customWidth="1"/>
    <col min="11777" max="11777" width="12.5703125" bestFit="1" customWidth="1"/>
    <col min="11778" max="11778" width="10.42578125" bestFit="1" customWidth="1"/>
    <col min="11779" max="11779" width="44" bestFit="1" customWidth="1"/>
    <col min="11780" max="11780" width="14.140625" bestFit="1" customWidth="1"/>
    <col min="11781" max="11781" width="11.140625" bestFit="1" customWidth="1"/>
    <col min="11782" max="11782" width="14.140625" customWidth="1"/>
    <col min="11783" max="11783" width="15.42578125" bestFit="1" customWidth="1"/>
    <col min="11784" max="11784" width="13.28515625" bestFit="1" customWidth="1"/>
    <col min="11785" max="11785" width="13.5703125" customWidth="1"/>
    <col min="11786" max="11786" width="10.140625" bestFit="1" customWidth="1"/>
    <col min="11787" max="11787" width="11.28515625" bestFit="1" customWidth="1"/>
    <col min="11788" max="11788" width="30.7109375" customWidth="1"/>
    <col min="11791" max="11791" width="11.28515625" customWidth="1"/>
    <col min="12025" max="12025" width="22.7109375" customWidth="1"/>
    <col min="12026" max="12026" width="14.28515625" bestFit="1" customWidth="1"/>
    <col min="12027" max="12027" width="12.7109375" bestFit="1" customWidth="1"/>
    <col min="12028" max="12028" width="12.7109375" customWidth="1"/>
    <col min="12029" max="12029" width="10.140625" customWidth="1"/>
    <col min="12030" max="12030" width="27.28515625" customWidth="1"/>
    <col min="12031" max="12031" width="13.85546875" bestFit="1" customWidth="1"/>
    <col min="12032" max="12032" width="41.5703125" customWidth="1"/>
    <col min="12033" max="12033" width="12.5703125" bestFit="1" customWidth="1"/>
    <col min="12034" max="12034" width="10.42578125" bestFit="1" customWidth="1"/>
    <col min="12035" max="12035" width="44" bestFit="1" customWidth="1"/>
    <col min="12036" max="12036" width="14.140625" bestFit="1" customWidth="1"/>
    <col min="12037" max="12037" width="11.140625" bestFit="1" customWidth="1"/>
    <col min="12038" max="12038" width="14.140625" customWidth="1"/>
    <col min="12039" max="12039" width="15.42578125" bestFit="1" customWidth="1"/>
    <col min="12040" max="12040" width="13.28515625" bestFit="1" customWidth="1"/>
    <col min="12041" max="12041" width="13.5703125" customWidth="1"/>
    <col min="12042" max="12042" width="10.140625" bestFit="1" customWidth="1"/>
    <col min="12043" max="12043" width="11.28515625" bestFit="1" customWidth="1"/>
    <col min="12044" max="12044" width="30.7109375" customWidth="1"/>
    <col min="12047" max="12047" width="11.28515625" customWidth="1"/>
    <col min="12281" max="12281" width="22.7109375" customWidth="1"/>
    <col min="12282" max="12282" width="14.28515625" bestFit="1" customWidth="1"/>
    <col min="12283" max="12283" width="12.7109375" bestFit="1" customWidth="1"/>
    <col min="12284" max="12284" width="12.7109375" customWidth="1"/>
    <col min="12285" max="12285" width="10.140625" customWidth="1"/>
    <col min="12286" max="12286" width="27.28515625" customWidth="1"/>
    <col min="12287" max="12287" width="13.85546875" bestFit="1" customWidth="1"/>
    <col min="12288" max="12288" width="41.5703125" customWidth="1"/>
    <col min="12289" max="12289" width="12.5703125" bestFit="1" customWidth="1"/>
    <col min="12290" max="12290" width="10.42578125" bestFit="1" customWidth="1"/>
    <col min="12291" max="12291" width="44" bestFit="1" customWidth="1"/>
    <col min="12292" max="12292" width="14.140625" bestFit="1" customWidth="1"/>
    <col min="12293" max="12293" width="11.140625" bestFit="1" customWidth="1"/>
    <col min="12294" max="12294" width="14.140625" customWidth="1"/>
    <col min="12295" max="12295" width="15.42578125" bestFit="1" customWidth="1"/>
    <col min="12296" max="12296" width="13.28515625" bestFit="1" customWidth="1"/>
    <col min="12297" max="12297" width="13.5703125" customWidth="1"/>
    <col min="12298" max="12298" width="10.140625" bestFit="1" customWidth="1"/>
    <col min="12299" max="12299" width="11.28515625" bestFit="1" customWidth="1"/>
    <col min="12300" max="12300" width="30.7109375" customWidth="1"/>
    <col min="12303" max="12303" width="11.28515625" customWidth="1"/>
    <col min="12537" max="12537" width="22.7109375" customWidth="1"/>
    <col min="12538" max="12538" width="14.28515625" bestFit="1" customWidth="1"/>
    <col min="12539" max="12539" width="12.7109375" bestFit="1" customWidth="1"/>
    <col min="12540" max="12540" width="12.7109375" customWidth="1"/>
    <col min="12541" max="12541" width="10.140625" customWidth="1"/>
    <col min="12542" max="12542" width="27.28515625" customWidth="1"/>
    <col min="12543" max="12543" width="13.85546875" bestFit="1" customWidth="1"/>
    <col min="12544" max="12544" width="41.5703125" customWidth="1"/>
    <col min="12545" max="12545" width="12.5703125" bestFit="1" customWidth="1"/>
    <col min="12546" max="12546" width="10.42578125" bestFit="1" customWidth="1"/>
    <col min="12547" max="12547" width="44" bestFit="1" customWidth="1"/>
    <col min="12548" max="12548" width="14.140625" bestFit="1" customWidth="1"/>
    <col min="12549" max="12549" width="11.140625" bestFit="1" customWidth="1"/>
    <col min="12550" max="12550" width="14.140625" customWidth="1"/>
    <col min="12551" max="12551" width="15.42578125" bestFit="1" customWidth="1"/>
    <col min="12552" max="12552" width="13.28515625" bestFit="1" customWidth="1"/>
    <col min="12553" max="12553" width="13.5703125" customWidth="1"/>
    <col min="12554" max="12554" width="10.140625" bestFit="1" customWidth="1"/>
    <col min="12555" max="12555" width="11.28515625" bestFit="1" customWidth="1"/>
    <col min="12556" max="12556" width="30.7109375" customWidth="1"/>
    <col min="12559" max="12559" width="11.28515625" customWidth="1"/>
    <col min="12793" max="12793" width="22.7109375" customWidth="1"/>
    <col min="12794" max="12794" width="14.28515625" bestFit="1" customWidth="1"/>
    <col min="12795" max="12795" width="12.7109375" bestFit="1" customWidth="1"/>
    <col min="12796" max="12796" width="12.7109375" customWidth="1"/>
    <col min="12797" max="12797" width="10.140625" customWidth="1"/>
    <col min="12798" max="12798" width="27.28515625" customWidth="1"/>
    <col min="12799" max="12799" width="13.85546875" bestFit="1" customWidth="1"/>
    <col min="12800" max="12800" width="41.5703125" customWidth="1"/>
    <col min="12801" max="12801" width="12.5703125" bestFit="1" customWidth="1"/>
    <col min="12802" max="12802" width="10.42578125" bestFit="1" customWidth="1"/>
    <col min="12803" max="12803" width="44" bestFit="1" customWidth="1"/>
    <col min="12804" max="12804" width="14.140625" bestFit="1" customWidth="1"/>
    <col min="12805" max="12805" width="11.140625" bestFit="1" customWidth="1"/>
    <col min="12806" max="12806" width="14.140625" customWidth="1"/>
    <col min="12807" max="12807" width="15.42578125" bestFit="1" customWidth="1"/>
    <col min="12808" max="12808" width="13.28515625" bestFit="1" customWidth="1"/>
    <col min="12809" max="12809" width="13.5703125" customWidth="1"/>
    <col min="12810" max="12810" width="10.140625" bestFit="1" customWidth="1"/>
    <col min="12811" max="12811" width="11.28515625" bestFit="1" customWidth="1"/>
    <col min="12812" max="12812" width="30.7109375" customWidth="1"/>
    <col min="12815" max="12815" width="11.28515625" customWidth="1"/>
    <col min="13049" max="13049" width="22.7109375" customWidth="1"/>
    <col min="13050" max="13050" width="14.28515625" bestFit="1" customWidth="1"/>
    <col min="13051" max="13051" width="12.7109375" bestFit="1" customWidth="1"/>
    <col min="13052" max="13052" width="12.7109375" customWidth="1"/>
    <col min="13053" max="13053" width="10.140625" customWidth="1"/>
    <col min="13054" max="13054" width="27.28515625" customWidth="1"/>
    <col min="13055" max="13055" width="13.85546875" bestFit="1" customWidth="1"/>
    <col min="13056" max="13056" width="41.5703125" customWidth="1"/>
    <col min="13057" max="13057" width="12.5703125" bestFit="1" customWidth="1"/>
    <col min="13058" max="13058" width="10.42578125" bestFit="1" customWidth="1"/>
    <col min="13059" max="13059" width="44" bestFit="1" customWidth="1"/>
    <col min="13060" max="13060" width="14.140625" bestFit="1" customWidth="1"/>
    <col min="13061" max="13061" width="11.140625" bestFit="1" customWidth="1"/>
    <col min="13062" max="13062" width="14.140625" customWidth="1"/>
    <col min="13063" max="13063" width="15.42578125" bestFit="1" customWidth="1"/>
    <col min="13064" max="13064" width="13.28515625" bestFit="1" customWidth="1"/>
    <col min="13065" max="13065" width="13.5703125" customWidth="1"/>
    <col min="13066" max="13066" width="10.140625" bestFit="1" customWidth="1"/>
    <col min="13067" max="13067" width="11.28515625" bestFit="1" customWidth="1"/>
    <col min="13068" max="13068" width="30.7109375" customWidth="1"/>
    <col min="13071" max="13071" width="11.28515625" customWidth="1"/>
    <col min="13305" max="13305" width="22.7109375" customWidth="1"/>
    <col min="13306" max="13306" width="14.28515625" bestFit="1" customWidth="1"/>
    <col min="13307" max="13307" width="12.7109375" bestFit="1" customWidth="1"/>
    <col min="13308" max="13308" width="12.7109375" customWidth="1"/>
    <col min="13309" max="13309" width="10.140625" customWidth="1"/>
    <col min="13310" max="13310" width="27.28515625" customWidth="1"/>
    <col min="13311" max="13311" width="13.85546875" bestFit="1" customWidth="1"/>
    <col min="13312" max="13312" width="41.5703125" customWidth="1"/>
    <col min="13313" max="13313" width="12.5703125" bestFit="1" customWidth="1"/>
    <col min="13314" max="13314" width="10.42578125" bestFit="1" customWidth="1"/>
    <col min="13315" max="13315" width="44" bestFit="1" customWidth="1"/>
    <col min="13316" max="13316" width="14.140625" bestFit="1" customWidth="1"/>
    <col min="13317" max="13317" width="11.140625" bestFit="1" customWidth="1"/>
    <col min="13318" max="13318" width="14.140625" customWidth="1"/>
    <col min="13319" max="13319" width="15.42578125" bestFit="1" customWidth="1"/>
    <col min="13320" max="13320" width="13.28515625" bestFit="1" customWidth="1"/>
    <col min="13321" max="13321" width="13.5703125" customWidth="1"/>
    <col min="13322" max="13322" width="10.140625" bestFit="1" customWidth="1"/>
    <col min="13323" max="13323" width="11.28515625" bestFit="1" customWidth="1"/>
    <col min="13324" max="13324" width="30.7109375" customWidth="1"/>
    <col min="13327" max="13327" width="11.28515625" customWidth="1"/>
    <col min="13561" max="13561" width="22.7109375" customWidth="1"/>
    <col min="13562" max="13562" width="14.28515625" bestFit="1" customWidth="1"/>
    <col min="13563" max="13563" width="12.7109375" bestFit="1" customWidth="1"/>
    <col min="13564" max="13564" width="12.7109375" customWidth="1"/>
    <col min="13565" max="13565" width="10.140625" customWidth="1"/>
    <col min="13566" max="13566" width="27.28515625" customWidth="1"/>
    <col min="13567" max="13567" width="13.85546875" bestFit="1" customWidth="1"/>
    <col min="13568" max="13568" width="41.5703125" customWidth="1"/>
    <col min="13569" max="13569" width="12.5703125" bestFit="1" customWidth="1"/>
    <col min="13570" max="13570" width="10.42578125" bestFit="1" customWidth="1"/>
    <col min="13571" max="13571" width="44" bestFit="1" customWidth="1"/>
    <col min="13572" max="13572" width="14.140625" bestFit="1" customWidth="1"/>
    <col min="13573" max="13573" width="11.140625" bestFit="1" customWidth="1"/>
    <col min="13574" max="13574" width="14.140625" customWidth="1"/>
    <col min="13575" max="13575" width="15.42578125" bestFit="1" customWidth="1"/>
    <col min="13576" max="13576" width="13.28515625" bestFit="1" customWidth="1"/>
    <col min="13577" max="13577" width="13.5703125" customWidth="1"/>
    <col min="13578" max="13578" width="10.140625" bestFit="1" customWidth="1"/>
    <col min="13579" max="13579" width="11.28515625" bestFit="1" customWidth="1"/>
    <col min="13580" max="13580" width="30.7109375" customWidth="1"/>
    <col min="13583" max="13583" width="11.28515625" customWidth="1"/>
    <col min="13817" max="13817" width="22.7109375" customWidth="1"/>
    <col min="13818" max="13818" width="14.28515625" bestFit="1" customWidth="1"/>
    <col min="13819" max="13819" width="12.7109375" bestFit="1" customWidth="1"/>
    <col min="13820" max="13820" width="12.7109375" customWidth="1"/>
    <col min="13821" max="13821" width="10.140625" customWidth="1"/>
    <col min="13822" max="13822" width="27.28515625" customWidth="1"/>
    <col min="13823" max="13823" width="13.85546875" bestFit="1" customWidth="1"/>
    <col min="13824" max="13824" width="41.5703125" customWidth="1"/>
    <col min="13825" max="13825" width="12.5703125" bestFit="1" customWidth="1"/>
    <col min="13826" max="13826" width="10.42578125" bestFit="1" customWidth="1"/>
    <col min="13827" max="13827" width="44" bestFit="1" customWidth="1"/>
    <col min="13828" max="13828" width="14.140625" bestFit="1" customWidth="1"/>
    <col min="13829" max="13829" width="11.140625" bestFit="1" customWidth="1"/>
    <col min="13830" max="13830" width="14.140625" customWidth="1"/>
    <col min="13831" max="13831" width="15.42578125" bestFit="1" customWidth="1"/>
    <col min="13832" max="13832" width="13.28515625" bestFit="1" customWidth="1"/>
    <col min="13833" max="13833" width="13.5703125" customWidth="1"/>
    <col min="13834" max="13834" width="10.140625" bestFit="1" customWidth="1"/>
    <col min="13835" max="13835" width="11.28515625" bestFit="1" customWidth="1"/>
    <col min="13836" max="13836" width="30.7109375" customWidth="1"/>
    <col min="13839" max="13839" width="11.28515625" customWidth="1"/>
    <col min="14073" max="14073" width="22.7109375" customWidth="1"/>
    <col min="14074" max="14074" width="14.28515625" bestFit="1" customWidth="1"/>
    <col min="14075" max="14075" width="12.7109375" bestFit="1" customWidth="1"/>
    <col min="14076" max="14076" width="12.7109375" customWidth="1"/>
    <col min="14077" max="14077" width="10.140625" customWidth="1"/>
    <col min="14078" max="14078" width="27.28515625" customWidth="1"/>
    <col min="14079" max="14079" width="13.85546875" bestFit="1" customWidth="1"/>
    <col min="14080" max="14080" width="41.5703125" customWidth="1"/>
    <col min="14081" max="14081" width="12.5703125" bestFit="1" customWidth="1"/>
    <col min="14082" max="14082" width="10.42578125" bestFit="1" customWidth="1"/>
    <col min="14083" max="14083" width="44" bestFit="1" customWidth="1"/>
    <col min="14084" max="14084" width="14.140625" bestFit="1" customWidth="1"/>
    <col min="14085" max="14085" width="11.140625" bestFit="1" customWidth="1"/>
    <col min="14086" max="14086" width="14.140625" customWidth="1"/>
    <col min="14087" max="14087" width="15.42578125" bestFit="1" customWidth="1"/>
    <col min="14088" max="14088" width="13.28515625" bestFit="1" customWidth="1"/>
    <col min="14089" max="14089" width="13.5703125" customWidth="1"/>
    <col min="14090" max="14090" width="10.140625" bestFit="1" customWidth="1"/>
    <col min="14091" max="14091" width="11.28515625" bestFit="1" customWidth="1"/>
    <col min="14092" max="14092" width="30.7109375" customWidth="1"/>
    <col min="14095" max="14095" width="11.28515625" customWidth="1"/>
    <col min="14329" max="14329" width="22.7109375" customWidth="1"/>
    <col min="14330" max="14330" width="14.28515625" bestFit="1" customWidth="1"/>
    <col min="14331" max="14331" width="12.7109375" bestFit="1" customWidth="1"/>
    <col min="14332" max="14332" width="12.7109375" customWidth="1"/>
    <col min="14333" max="14333" width="10.140625" customWidth="1"/>
    <col min="14334" max="14334" width="27.28515625" customWidth="1"/>
    <col min="14335" max="14335" width="13.85546875" bestFit="1" customWidth="1"/>
    <col min="14336" max="14336" width="41.5703125" customWidth="1"/>
    <col min="14337" max="14337" width="12.5703125" bestFit="1" customWidth="1"/>
    <col min="14338" max="14338" width="10.42578125" bestFit="1" customWidth="1"/>
    <col min="14339" max="14339" width="44" bestFit="1" customWidth="1"/>
    <col min="14340" max="14340" width="14.140625" bestFit="1" customWidth="1"/>
    <col min="14341" max="14341" width="11.140625" bestFit="1" customWidth="1"/>
    <col min="14342" max="14342" width="14.140625" customWidth="1"/>
    <col min="14343" max="14343" width="15.42578125" bestFit="1" customWidth="1"/>
    <col min="14344" max="14344" width="13.28515625" bestFit="1" customWidth="1"/>
    <col min="14345" max="14345" width="13.5703125" customWidth="1"/>
    <col min="14346" max="14346" width="10.140625" bestFit="1" customWidth="1"/>
    <col min="14347" max="14347" width="11.28515625" bestFit="1" customWidth="1"/>
    <col min="14348" max="14348" width="30.7109375" customWidth="1"/>
    <col min="14351" max="14351" width="11.28515625" customWidth="1"/>
    <col min="14585" max="14585" width="22.7109375" customWidth="1"/>
    <col min="14586" max="14586" width="14.28515625" bestFit="1" customWidth="1"/>
    <col min="14587" max="14587" width="12.7109375" bestFit="1" customWidth="1"/>
    <col min="14588" max="14588" width="12.7109375" customWidth="1"/>
    <col min="14589" max="14589" width="10.140625" customWidth="1"/>
    <col min="14590" max="14590" width="27.28515625" customWidth="1"/>
    <col min="14591" max="14591" width="13.85546875" bestFit="1" customWidth="1"/>
    <col min="14592" max="14592" width="41.5703125" customWidth="1"/>
    <col min="14593" max="14593" width="12.5703125" bestFit="1" customWidth="1"/>
    <col min="14594" max="14594" width="10.42578125" bestFit="1" customWidth="1"/>
    <col min="14595" max="14595" width="44" bestFit="1" customWidth="1"/>
    <col min="14596" max="14596" width="14.140625" bestFit="1" customWidth="1"/>
    <col min="14597" max="14597" width="11.140625" bestFit="1" customWidth="1"/>
    <col min="14598" max="14598" width="14.140625" customWidth="1"/>
    <col min="14599" max="14599" width="15.42578125" bestFit="1" customWidth="1"/>
    <col min="14600" max="14600" width="13.28515625" bestFit="1" customWidth="1"/>
    <col min="14601" max="14601" width="13.5703125" customWidth="1"/>
    <col min="14602" max="14602" width="10.140625" bestFit="1" customWidth="1"/>
    <col min="14603" max="14603" width="11.28515625" bestFit="1" customWidth="1"/>
    <col min="14604" max="14604" width="30.7109375" customWidth="1"/>
    <col min="14607" max="14607" width="11.28515625" customWidth="1"/>
    <col min="14841" max="14841" width="22.7109375" customWidth="1"/>
    <col min="14842" max="14842" width="14.28515625" bestFit="1" customWidth="1"/>
    <col min="14843" max="14843" width="12.7109375" bestFit="1" customWidth="1"/>
    <col min="14844" max="14844" width="12.7109375" customWidth="1"/>
    <col min="14845" max="14845" width="10.140625" customWidth="1"/>
    <col min="14846" max="14846" width="27.28515625" customWidth="1"/>
    <col min="14847" max="14847" width="13.85546875" bestFit="1" customWidth="1"/>
    <col min="14848" max="14848" width="41.5703125" customWidth="1"/>
    <col min="14849" max="14849" width="12.5703125" bestFit="1" customWidth="1"/>
    <col min="14850" max="14850" width="10.42578125" bestFit="1" customWidth="1"/>
    <col min="14851" max="14851" width="44" bestFit="1" customWidth="1"/>
    <col min="14852" max="14852" width="14.140625" bestFit="1" customWidth="1"/>
    <col min="14853" max="14853" width="11.140625" bestFit="1" customWidth="1"/>
    <col min="14854" max="14854" width="14.140625" customWidth="1"/>
    <col min="14855" max="14855" width="15.42578125" bestFit="1" customWidth="1"/>
    <col min="14856" max="14856" width="13.28515625" bestFit="1" customWidth="1"/>
    <col min="14857" max="14857" width="13.5703125" customWidth="1"/>
    <col min="14858" max="14858" width="10.140625" bestFit="1" customWidth="1"/>
    <col min="14859" max="14859" width="11.28515625" bestFit="1" customWidth="1"/>
    <col min="14860" max="14860" width="30.7109375" customWidth="1"/>
    <col min="14863" max="14863" width="11.28515625" customWidth="1"/>
    <col min="15097" max="15097" width="22.7109375" customWidth="1"/>
    <col min="15098" max="15098" width="14.28515625" bestFit="1" customWidth="1"/>
    <col min="15099" max="15099" width="12.7109375" bestFit="1" customWidth="1"/>
    <col min="15100" max="15100" width="12.7109375" customWidth="1"/>
    <col min="15101" max="15101" width="10.140625" customWidth="1"/>
    <col min="15102" max="15102" width="27.28515625" customWidth="1"/>
    <col min="15103" max="15103" width="13.85546875" bestFit="1" customWidth="1"/>
    <col min="15104" max="15104" width="41.5703125" customWidth="1"/>
    <col min="15105" max="15105" width="12.5703125" bestFit="1" customWidth="1"/>
    <col min="15106" max="15106" width="10.42578125" bestFit="1" customWidth="1"/>
    <col min="15107" max="15107" width="44" bestFit="1" customWidth="1"/>
    <col min="15108" max="15108" width="14.140625" bestFit="1" customWidth="1"/>
    <col min="15109" max="15109" width="11.140625" bestFit="1" customWidth="1"/>
    <col min="15110" max="15110" width="14.140625" customWidth="1"/>
    <col min="15111" max="15111" width="15.42578125" bestFit="1" customWidth="1"/>
    <col min="15112" max="15112" width="13.28515625" bestFit="1" customWidth="1"/>
    <col min="15113" max="15113" width="13.5703125" customWidth="1"/>
    <col min="15114" max="15114" width="10.140625" bestFit="1" customWidth="1"/>
    <col min="15115" max="15115" width="11.28515625" bestFit="1" customWidth="1"/>
    <col min="15116" max="15116" width="30.7109375" customWidth="1"/>
    <col min="15119" max="15119" width="11.28515625" customWidth="1"/>
    <col min="15353" max="15353" width="22.7109375" customWidth="1"/>
    <col min="15354" max="15354" width="14.28515625" bestFit="1" customWidth="1"/>
    <col min="15355" max="15355" width="12.7109375" bestFit="1" customWidth="1"/>
    <col min="15356" max="15356" width="12.7109375" customWidth="1"/>
    <col min="15357" max="15357" width="10.140625" customWidth="1"/>
    <col min="15358" max="15358" width="27.28515625" customWidth="1"/>
    <col min="15359" max="15359" width="13.85546875" bestFit="1" customWidth="1"/>
    <col min="15360" max="15360" width="41.5703125" customWidth="1"/>
    <col min="15361" max="15361" width="12.5703125" bestFit="1" customWidth="1"/>
    <col min="15362" max="15362" width="10.42578125" bestFit="1" customWidth="1"/>
    <col min="15363" max="15363" width="44" bestFit="1" customWidth="1"/>
    <col min="15364" max="15364" width="14.140625" bestFit="1" customWidth="1"/>
    <col min="15365" max="15365" width="11.140625" bestFit="1" customWidth="1"/>
    <col min="15366" max="15366" width="14.140625" customWidth="1"/>
    <col min="15367" max="15367" width="15.42578125" bestFit="1" customWidth="1"/>
    <col min="15368" max="15368" width="13.28515625" bestFit="1" customWidth="1"/>
    <col min="15369" max="15369" width="13.5703125" customWidth="1"/>
    <col min="15370" max="15370" width="10.140625" bestFit="1" customWidth="1"/>
    <col min="15371" max="15371" width="11.28515625" bestFit="1" customWidth="1"/>
    <col min="15372" max="15372" width="30.7109375" customWidth="1"/>
    <col min="15375" max="15375" width="11.28515625" customWidth="1"/>
    <col min="15609" max="15609" width="22.7109375" customWidth="1"/>
    <col min="15610" max="15610" width="14.28515625" bestFit="1" customWidth="1"/>
    <col min="15611" max="15611" width="12.7109375" bestFit="1" customWidth="1"/>
    <col min="15612" max="15612" width="12.7109375" customWidth="1"/>
    <col min="15613" max="15613" width="10.140625" customWidth="1"/>
    <col min="15614" max="15614" width="27.28515625" customWidth="1"/>
    <col min="15615" max="15615" width="13.85546875" bestFit="1" customWidth="1"/>
    <col min="15616" max="15616" width="41.5703125" customWidth="1"/>
    <col min="15617" max="15617" width="12.5703125" bestFit="1" customWidth="1"/>
    <col min="15618" max="15618" width="10.42578125" bestFit="1" customWidth="1"/>
    <col min="15619" max="15619" width="44" bestFit="1" customWidth="1"/>
    <col min="15620" max="15620" width="14.140625" bestFit="1" customWidth="1"/>
    <col min="15621" max="15621" width="11.140625" bestFit="1" customWidth="1"/>
    <col min="15622" max="15622" width="14.140625" customWidth="1"/>
    <col min="15623" max="15623" width="15.42578125" bestFit="1" customWidth="1"/>
    <col min="15624" max="15624" width="13.28515625" bestFit="1" customWidth="1"/>
    <col min="15625" max="15625" width="13.5703125" customWidth="1"/>
    <col min="15626" max="15626" width="10.140625" bestFit="1" customWidth="1"/>
    <col min="15627" max="15627" width="11.28515625" bestFit="1" customWidth="1"/>
    <col min="15628" max="15628" width="30.7109375" customWidth="1"/>
    <col min="15631" max="15631" width="11.28515625" customWidth="1"/>
    <col min="15865" max="15865" width="22.7109375" customWidth="1"/>
    <col min="15866" max="15866" width="14.28515625" bestFit="1" customWidth="1"/>
    <col min="15867" max="15867" width="12.7109375" bestFit="1" customWidth="1"/>
    <col min="15868" max="15868" width="12.7109375" customWidth="1"/>
    <col min="15869" max="15869" width="10.140625" customWidth="1"/>
    <col min="15870" max="15870" width="27.28515625" customWidth="1"/>
    <col min="15871" max="15871" width="13.85546875" bestFit="1" customWidth="1"/>
    <col min="15872" max="15872" width="41.5703125" customWidth="1"/>
    <col min="15873" max="15873" width="12.5703125" bestFit="1" customWidth="1"/>
    <col min="15874" max="15874" width="10.42578125" bestFit="1" customWidth="1"/>
    <col min="15875" max="15875" width="44" bestFit="1" customWidth="1"/>
    <col min="15876" max="15876" width="14.140625" bestFit="1" customWidth="1"/>
    <col min="15877" max="15877" width="11.140625" bestFit="1" customWidth="1"/>
    <col min="15878" max="15878" width="14.140625" customWidth="1"/>
    <col min="15879" max="15879" width="15.42578125" bestFit="1" customWidth="1"/>
    <col min="15880" max="15880" width="13.28515625" bestFit="1" customWidth="1"/>
    <col min="15881" max="15881" width="13.5703125" customWidth="1"/>
    <col min="15882" max="15882" width="10.140625" bestFit="1" customWidth="1"/>
    <col min="15883" max="15883" width="11.28515625" bestFit="1" customWidth="1"/>
    <col min="15884" max="15884" width="30.7109375" customWidth="1"/>
    <col min="15887" max="15887" width="11.28515625" customWidth="1"/>
    <col min="16121" max="16121" width="22.7109375" customWidth="1"/>
    <col min="16122" max="16122" width="14.28515625" bestFit="1" customWidth="1"/>
    <col min="16123" max="16123" width="12.7109375" bestFit="1" customWidth="1"/>
    <col min="16124" max="16124" width="12.7109375" customWidth="1"/>
    <col min="16125" max="16125" width="10.140625" customWidth="1"/>
    <col min="16126" max="16126" width="27.28515625" customWidth="1"/>
    <col min="16127" max="16127" width="13.85546875" bestFit="1" customWidth="1"/>
    <col min="16128" max="16128" width="41.5703125" customWidth="1"/>
    <col min="16129" max="16129" width="12.5703125" bestFit="1" customWidth="1"/>
    <col min="16130" max="16130" width="10.42578125" bestFit="1" customWidth="1"/>
    <col min="16131" max="16131" width="44" bestFit="1" customWidth="1"/>
    <col min="16132" max="16132" width="14.140625" bestFit="1" customWidth="1"/>
    <col min="16133" max="16133" width="11.140625" bestFit="1" customWidth="1"/>
    <col min="16134" max="16134" width="14.140625" customWidth="1"/>
    <col min="16135" max="16135" width="15.42578125" bestFit="1" customWidth="1"/>
    <col min="16136" max="16136" width="13.28515625" bestFit="1" customWidth="1"/>
    <col min="16137" max="16137" width="13.5703125" customWidth="1"/>
    <col min="16138" max="16138" width="10.140625" bestFit="1" customWidth="1"/>
    <col min="16139" max="16139" width="11.28515625" bestFit="1" customWidth="1"/>
    <col min="16140" max="16140" width="30.7109375" customWidth="1"/>
    <col min="16143" max="16143" width="11.28515625" customWidth="1"/>
  </cols>
  <sheetData>
    <row r="1" spans="1:19" ht="15.75">
      <c r="A1" s="12" t="s">
        <v>119</v>
      </c>
      <c r="S1"/>
    </row>
    <row r="2" spans="1:19" ht="15.75">
      <c r="A2" s="12" t="s">
        <v>0</v>
      </c>
      <c r="S2"/>
    </row>
    <row r="3" spans="1:19" ht="15.75">
      <c r="A3" s="13" t="s">
        <v>263</v>
      </c>
      <c r="S3"/>
    </row>
    <row r="4" spans="1:19" ht="15.75">
      <c r="A4" s="13" t="s">
        <v>246</v>
      </c>
      <c r="C4" s="1"/>
      <c r="S4"/>
    </row>
    <row r="5" spans="1:19">
      <c r="C5" s="1"/>
      <c r="N5" s="26" t="s">
        <v>241</v>
      </c>
      <c r="O5" s="26"/>
      <c r="P5" s="26"/>
      <c r="Q5" s="26"/>
      <c r="R5" s="26"/>
      <c r="S5"/>
    </row>
    <row r="6" spans="1:19">
      <c r="A6" s="27"/>
      <c r="B6" s="28" t="s">
        <v>1</v>
      </c>
      <c r="C6" s="28" t="s">
        <v>2</v>
      </c>
      <c r="D6" s="28" t="s">
        <v>3</v>
      </c>
      <c r="E6" s="28" t="s">
        <v>250</v>
      </c>
      <c r="F6" s="28" t="s">
        <v>4</v>
      </c>
      <c r="G6" s="28" t="s">
        <v>242</v>
      </c>
      <c r="H6" s="28" t="s">
        <v>5</v>
      </c>
      <c r="I6" s="28" t="s">
        <v>6</v>
      </c>
      <c r="J6" s="28" t="s">
        <v>7</v>
      </c>
      <c r="K6" s="28" t="s">
        <v>8</v>
      </c>
      <c r="L6" s="29" t="s">
        <v>240</v>
      </c>
      <c r="M6" s="30" t="s">
        <v>148</v>
      </c>
      <c r="N6" s="29" t="s">
        <v>156</v>
      </c>
      <c r="O6" s="28" t="s">
        <v>149</v>
      </c>
      <c r="P6" s="29" t="s">
        <v>154</v>
      </c>
      <c r="Q6" s="29" t="s">
        <v>155</v>
      </c>
      <c r="R6" s="31" t="s">
        <v>245</v>
      </c>
      <c r="S6" s="19" t="s">
        <v>162</v>
      </c>
    </row>
    <row r="7" spans="1:19">
      <c r="A7" s="32">
        <v>1</v>
      </c>
      <c r="B7" s="33" t="s">
        <v>115</v>
      </c>
      <c r="C7" s="34">
        <v>40555</v>
      </c>
      <c r="D7" s="27">
        <v>41784</v>
      </c>
      <c r="E7" s="15">
        <v>2011</v>
      </c>
      <c r="F7" s="32">
        <v>20516</v>
      </c>
      <c r="G7" s="35" t="s">
        <v>243</v>
      </c>
      <c r="H7" s="35" t="s">
        <v>92</v>
      </c>
      <c r="I7" s="27">
        <v>8</v>
      </c>
      <c r="J7" s="36">
        <v>5001</v>
      </c>
      <c r="K7" s="36">
        <v>20004</v>
      </c>
      <c r="L7" s="37">
        <v>0.25</v>
      </c>
      <c r="M7" s="15" t="s">
        <v>153</v>
      </c>
      <c r="N7" s="38">
        <v>40008</v>
      </c>
      <c r="O7" s="38">
        <v>0</v>
      </c>
      <c r="P7" s="38">
        <v>0</v>
      </c>
      <c r="Q7" s="38">
        <v>0</v>
      </c>
      <c r="R7" s="38">
        <f t="shared" ref="R7:R14" si="0">SUM(N7:Q7)</f>
        <v>40008</v>
      </c>
      <c r="S7"/>
    </row>
    <row r="8" spans="1:19">
      <c r="A8" s="32">
        <v>2</v>
      </c>
      <c r="B8" s="33" t="s">
        <v>56</v>
      </c>
      <c r="C8" s="34">
        <v>40555</v>
      </c>
      <c r="D8" s="27">
        <v>41832</v>
      </c>
      <c r="E8" s="15">
        <v>2011</v>
      </c>
      <c r="F8" s="32">
        <v>20536</v>
      </c>
      <c r="G8" s="35" t="s">
        <v>243</v>
      </c>
      <c r="H8" s="35" t="s">
        <v>114</v>
      </c>
      <c r="I8" s="27">
        <v>40</v>
      </c>
      <c r="J8" s="36">
        <v>3548</v>
      </c>
      <c r="K8" s="36">
        <v>70960</v>
      </c>
      <c r="L8" s="37">
        <v>0.25</v>
      </c>
      <c r="M8" s="15" t="s">
        <v>153</v>
      </c>
      <c r="N8" s="40">
        <v>141920</v>
      </c>
      <c r="O8" s="40">
        <v>0</v>
      </c>
      <c r="P8" s="40">
        <v>0</v>
      </c>
      <c r="Q8" s="40">
        <v>0</v>
      </c>
      <c r="R8" s="40">
        <f t="shared" si="0"/>
        <v>141920</v>
      </c>
      <c r="S8"/>
    </row>
    <row r="9" spans="1:19">
      <c r="A9" s="32">
        <v>3</v>
      </c>
      <c r="B9" s="49" t="s">
        <v>15</v>
      </c>
      <c r="C9" s="45">
        <v>40583</v>
      </c>
      <c r="D9" s="15">
        <v>41837</v>
      </c>
      <c r="E9" s="15">
        <v>2011</v>
      </c>
      <c r="F9" s="18">
        <v>20542</v>
      </c>
      <c r="G9" s="46" t="s">
        <v>120</v>
      </c>
      <c r="H9" s="46" t="s">
        <v>116</v>
      </c>
      <c r="I9" s="15">
        <v>40</v>
      </c>
      <c r="J9" s="47">
        <v>250</v>
      </c>
      <c r="K9" s="47">
        <v>5000</v>
      </c>
      <c r="L9" s="48">
        <v>0.25</v>
      </c>
      <c r="M9" s="15" t="s">
        <v>153</v>
      </c>
      <c r="N9" s="17">
        <v>10000</v>
      </c>
      <c r="O9" s="40"/>
      <c r="P9" s="40">
        <v>0</v>
      </c>
      <c r="Q9" s="40">
        <v>0</v>
      </c>
      <c r="R9" s="40">
        <f t="shared" si="0"/>
        <v>10000</v>
      </c>
      <c r="S9"/>
    </row>
    <row r="10" spans="1:19">
      <c r="A10" s="32">
        <v>4</v>
      </c>
      <c r="B10" s="33" t="s">
        <v>56</v>
      </c>
      <c r="C10" s="34">
        <v>40583</v>
      </c>
      <c r="D10" s="27">
        <v>41845</v>
      </c>
      <c r="E10" s="15">
        <v>2011</v>
      </c>
      <c r="F10" s="32">
        <v>20543</v>
      </c>
      <c r="G10" s="35" t="s">
        <v>243</v>
      </c>
      <c r="H10" s="35" t="s">
        <v>79</v>
      </c>
      <c r="I10" s="27">
        <v>80</v>
      </c>
      <c r="J10" s="36">
        <v>1456</v>
      </c>
      <c r="K10" s="36">
        <v>58240</v>
      </c>
      <c r="L10" s="37">
        <v>0.25</v>
      </c>
      <c r="M10" s="15" t="s">
        <v>153</v>
      </c>
      <c r="N10" s="40">
        <v>116480</v>
      </c>
      <c r="O10" s="40">
        <v>0</v>
      </c>
      <c r="P10" s="40">
        <v>0</v>
      </c>
      <c r="Q10" s="40">
        <v>0</v>
      </c>
      <c r="R10" s="40">
        <f t="shared" si="0"/>
        <v>116480</v>
      </c>
      <c r="S10"/>
    </row>
    <row r="11" spans="1:19">
      <c r="A11" s="32">
        <v>5</v>
      </c>
      <c r="B11" s="33" t="s">
        <v>56</v>
      </c>
      <c r="C11" s="34">
        <v>40583</v>
      </c>
      <c r="D11" s="27">
        <v>41846</v>
      </c>
      <c r="E11" s="15">
        <v>2011</v>
      </c>
      <c r="F11" s="32">
        <v>20544</v>
      </c>
      <c r="G11" s="35" t="s">
        <v>243</v>
      </c>
      <c r="H11" s="35" t="s">
        <v>118</v>
      </c>
      <c r="I11" s="27">
        <v>40</v>
      </c>
      <c r="J11" s="36">
        <v>3500</v>
      </c>
      <c r="K11" s="36">
        <v>70000</v>
      </c>
      <c r="L11" s="37">
        <v>0.25</v>
      </c>
      <c r="M11" s="15" t="s">
        <v>153</v>
      </c>
      <c r="N11" s="40">
        <v>140000</v>
      </c>
      <c r="O11" s="40">
        <v>0</v>
      </c>
      <c r="P11" s="40">
        <v>0</v>
      </c>
      <c r="Q11" s="40">
        <v>0</v>
      </c>
      <c r="R11" s="40">
        <f t="shared" si="0"/>
        <v>140000</v>
      </c>
      <c r="S11"/>
    </row>
    <row r="12" spans="1:19">
      <c r="A12" s="32">
        <v>6</v>
      </c>
      <c r="B12" s="33" t="s">
        <v>56</v>
      </c>
      <c r="C12" s="34">
        <v>40583</v>
      </c>
      <c r="D12" s="27">
        <v>41847</v>
      </c>
      <c r="E12" s="15">
        <v>2011</v>
      </c>
      <c r="F12" s="32">
        <v>20545</v>
      </c>
      <c r="G12" s="35" t="s">
        <v>243</v>
      </c>
      <c r="H12" s="35" t="s">
        <v>118</v>
      </c>
      <c r="I12" s="27">
        <v>6</v>
      </c>
      <c r="J12" s="36">
        <v>3500</v>
      </c>
      <c r="K12" s="36">
        <v>10500</v>
      </c>
      <c r="L12" s="37">
        <v>0.25</v>
      </c>
      <c r="M12" s="15" t="s">
        <v>153</v>
      </c>
      <c r="N12" s="40">
        <v>21000</v>
      </c>
      <c r="O12" s="17">
        <v>0</v>
      </c>
      <c r="P12" s="17">
        <v>0</v>
      </c>
      <c r="Q12" s="17">
        <v>0</v>
      </c>
      <c r="R12" s="40">
        <f t="shared" si="0"/>
        <v>21000</v>
      </c>
      <c r="S12"/>
    </row>
    <row r="13" spans="1:19">
      <c r="A13" s="32">
        <v>7</v>
      </c>
      <c r="B13" s="44" t="s">
        <v>117</v>
      </c>
      <c r="C13" s="45">
        <v>40611</v>
      </c>
      <c r="D13" s="15">
        <v>41941</v>
      </c>
      <c r="E13" s="15">
        <v>2011</v>
      </c>
      <c r="F13" s="18">
        <v>20565</v>
      </c>
      <c r="G13" s="46" t="s">
        <v>136</v>
      </c>
      <c r="H13" s="46" t="s">
        <v>79</v>
      </c>
      <c r="I13" s="15">
        <v>102.387</v>
      </c>
      <c r="J13" s="47">
        <v>7671</v>
      </c>
      <c r="K13" s="47">
        <v>392705.34</v>
      </c>
      <c r="L13" s="48">
        <v>0.25</v>
      </c>
      <c r="M13" s="15" t="s">
        <v>153</v>
      </c>
      <c r="N13" s="17">
        <v>785410.68</v>
      </c>
      <c r="O13" s="40">
        <v>0</v>
      </c>
      <c r="P13" s="40">
        <v>0</v>
      </c>
      <c r="Q13" s="40">
        <v>0</v>
      </c>
      <c r="R13" s="40">
        <f t="shared" si="0"/>
        <v>785410.68</v>
      </c>
      <c r="S13"/>
    </row>
    <row r="14" spans="1:19" ht="17.25">
      <c r="A14" s="32">
        <v>8</v>
      </c>
      <c r="B14" s="44" t="s">
        <v>29</v>
      </c>
      <c r="C14" s="45">
        <v>40611</v>
      </c>
      <c r="D14" s="15">
        <v>41942</v>
      </c>
      <c r="E14" s="15">
        <v>2011</v>
      </c>
      <c r="F14" s="18">
        <v>20566</v>
      </c>
      <c r="G14" s="46" t="s">
        <v>126</v>
      </c>
      <c r="H14" s="46" t="s">
        <v>114</v>
      </c>
      <c r="I14" s="15">
        <v>504.3</v>
      </c>
      <c r="J14" s="47">
        <v>8922</v>
      </c>
      <c r="K14" s="47">
        <v>2249682.2999999998</v>
      </c>
      <c r="L14" s="48">
        <v>0.25</v>
      </c>
      <c r="M14" s="15" t="s">
        <v>153</v>
      </c>
      <c r="N14" s="52">
        <v>4499364.5999999996</v>
      </c>
      <c r="O14" s="51">
        <v>0</v>
      </c>
      <c r="P14" s="51">
        <v>0</v>
      </c>
      <c r="Q14" s="51">
        <v>0</v>
      </c>
      <c r="R14" s="51">
        <f t="shared" si="0"/>
        <v>4499364.5999999996</v>
      </c>
      <c r="S14"/>
    </row>
    <row r="15" spans="1:19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 t="s">
        <v>262</v>
      </c>
      <c r="N15" s="63">
        <f>SUM(N7:N14)</f>
        <v>5754183.2799999993</v>
      </c>
      <c r="O15" s="64">
        <f>SUM(O7:O14)</f>
        <v>0</v>
      </c>
      <c r="P15" s="64">
        <f>SUM(P7:P14)</f>
        <v>0</v>
      </c>
      <c r="Q15" s="64">
        <f>SUM(Q7:Q14)</f>
        <v>0</v>
      </c>
      <c r="R15" s="64">
        <f>SUM(R7:R14)</f>
        <v>5754183.2799999993</v>
      </c>
      <c r="S15"/>
    </row>
    <row r="16" spans="1:19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4"/>
      <c r="N16" s="61"/>
      <c r="O16" s="61"/>
      <c r="P16" s="61"/>
      <c r="Q16" s="61"/>
      <c r="R16" s="61"/>
    </row>
    <row r="17" spans="1:18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4"/>
      <c r="N17" s="61"/>
      <c r="O17" s="61"/>
      <c r="P17" s="61"/>
      <c r="Q17" s="61"/>
      <c r="R17" s="61"/>
    </row>
    <row r="18" spans="1:18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2" t="s">
        <v>266</v>
      </c>
      <c r="N18" s="61"/>
      <c r="O18" s="61"/>
      <c r="P18" s="61"/>
      <c r="Q18" s="61"/>
      <c r="R18" s="61"/>
    </row>
    <row r="19" spans="1:18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4">
        <v>2005</v>
      </c>
      <c r="M19" s="70">
        <v>34</v>
      </c>
      <c r="N19" s="65">
        <f>'2005'!N41</f>
        <v>1715231.76</v>
      </c>
      <c r="O19" s="65">
        <f>'2005'!O41</f>
        <v>740311.89999999991</v>
      </c>
      <c r="P19" s="65">
        <f>'2005'!P41</f>
        <v>124984.87</v>
      </c>
      <c r="Q19" s="65">
        <f>'2005'!Q41</f>
        <v>2137871.6999999997</v>
      </c>
      <c r="R19" s="65">
        <f>SUM(N19:Q19)</f>
        <v>4718400.2300000004</v>
      </c>
    </row>
    <row r="20" spans="1:18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4">
        <v>2006</v>
      </c>
      <c r="M20" s="70">
        <v>39</v>
      </c>
      <c r="N20" s="66">
        <f>'2006'!N46</f>
        <v>1129896.98</v>
      </c>
      <c r="O20" s="66">
        <f>'2006'!O46</f>
        <v>639993.07999999996</v>
      </c>
      <c r="P20" s="66">
        <f>'2006'!P46</f>
        <v>4477.8900000000003</v>
      </c>
      <c r="Q20" s="66">
        <f>'2006'!Q46</f>
        <v>1090323.9400000002</v>
      </c>
      <c r="R20" s="66">
        <f t="shared" ref="R20:R25" si="1">SUM(N20:Q20)</f>
        <v>2864691.89</v>
      </c>
    </row>
    <row r="21" spans="1:18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4">
        <v>2007</v>
      </c>
      <c r="M21" s="70">
        <v>34</v>
      </c>
      <c r="N21" s="66">
        <f>'2007'!N41</f>
        <v>1716141.2099999997</v>
      </c>
      <c r="O21" s="66">
        <f>'2007'!O41</f>
        <v>818829.85</v>
      </c>
      <c r="P21" s="66">
        <f>'2007'!P41</f>
        <v>16531.53</v>
      </c>
      <c r="Q21" s="66">
        <f>'2007'!Q41</f>
        <v>3296634.56</v>
      </c>
      <c r="R21" s="66">
        <f t="shared" si="1"/>
        <v>5848137.1499999994</v>
      </c>
    </row>
    <row r="22" spans="1:18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4">
        <v>2008</v>
      </c>
      <c r="M22" s="70">
        <v>126</v>
      </c>
      <c r="N22" s="66">
        <f>'2008'!N133</f>
        <v>203737687.30000004</v>
      </c>
      <c r="O22" s="66">
        <f>'2008'!O133</f>
        <v>19385876.009999998</v>
      </c>
      <c r="P22" s="66">
        <f>'2008'!P133</f>
        <v>31103.879999999997</v>
      </c>
      <c r="Q22" s="66">
        <f>'2008'!Q133</f>
        <v>11538029.549999999</v>
      </c>
      <c r="R22" s="66">
        <f t="shared" si="1"/>
        <v>234692696.74000004</v>
      </c>
    </row>
    <row r="23" spans="1:18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4">
        <v>2009</v>
      </c>
      <c r="M23" s="70">
        <v>79</v>
      </c>
      <c r="N23" s="66">
        <f>'2009'!N86</f>
        <v>32796886.249999996</v>
      </c>
      <c r="O23" s="66">
        <f>'2009'!O86</f>
        <v>4214105.17</v>
      </c>
      <c r="P23" s="66">
        <f>'2009'!P86</f>
        <v>4925.92</v>
      </c>
      <c r="Q23" s="66">
        <f>'2009'!Q86</f>
        <v>5678004.330000001</v>
      </c>
      <c r="R23" s="66">
        <f t="shared" si="1"/>
        <v>42693921.669999994</v>
      </c>
    </row>
    <row r="24" spans="1:18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14">
        <v>2010</v>
      </c>
      <c r="M24" s="70">
        <v>104</v>
      </c>
      <c r="N24" s="66">
        <f>'2010'!N111</f>
        <v>33943619.060000002</v>
      </c>
      <c r="O24" s="66">
        <f>'2010'!O111</f>
        <v>1639006.6099999999</v>
      </c>
      <c r="P24" s="66">
        <f>'2010'!P111</f>
        <v>357790.8</v>
      </c>
      <c r="Q24" s="66">
        <f>'2010'!Q111</f>
        <v>1992207.4899999998</v>
      </c>
      <c r="R24" s="66">
        <f t="shared" si="1"/>
        <v>37932623.960000001</v>
      </c>
    </row>
    <row r="25" spans="1:18" ht="17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4">
        <v>2011</v>
      </c>
      <c r="M25" s="71">
        <v>8</v>
      </c>
      <c r="N25" s="67">
        <f>N15</f>
        <v>5754183.2799999993</v>
      </c>
      <c r="O25" s="67">
        <f t="shared" ref="O25:Q25" si="2">O15</f>
        <v>0</v>
      </c>
      <c r="P25" s="67">
        <f t="shared" si="2"/>
        <v>0</v>
      </c>
      <c r="Q25" s="67">
        <f t="shared" si="2"/>
        <v>0</v>
      </c>
      <c r="R25" s="67">
        <f t="shared" si="1"/>
        <v>5754183.2799999993</v>
      </c>
    </row>
    <row r="26" spans="1:18" ht="17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8" t="s">
        <v>264</v>
      </c>
      <c r="M26" s="73">
        <f t="shared" ref="M26:R26" si="3">SUM(M19:M25)</f>
        <v>424</v>
      </c>
      <c r="N26" s="69">
        <f t="shared" si="3"/>
        <v>280793645.84000003</v>
      </c>
      <c r="O26" s="69">
        <f t="shared" si="3"/>
        <v>27438122.619999997</v>
      </c>
      <c r="P26" s="69">
        <f t="shared" si="3"/>
        <v>539814.89</v>
      </c>
      <c r="Q26" s="69">
        <f t="shared" si="3"/>
        <v>25733071.57</v>
      </c>
      <c r="R26" s="69">
        <f t="shared" si="3"/>
        <v>334504654.92000002</v>
      </c>
    </row>
    <row r="27" spans="1:18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14"/>
      <c r="N27" s="61"/>
      <c r="O27" s="61"/>
      <c r="P27" s="61"/>
      <c r="Q27" s="61"/>
      <c r="R27" s="61"/>
    </row>
    <row r="28" spans="1:18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14"/>
      <c r="N28" s="61"/>
      <c r="O28" s="61"/>
      <c r="P28" s="61"/>
      <c r="Q28" s="61"/>
      <c r="R28" s="61"/>
    </row>
    <row r="29" spans="1:18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4"/>
      <c r="N29" s="61"/>
      <c r="O29" s="61"/>
      <c r="P29" s="61"/>
      <c r="Q29" s="61"/>
      <c r="R29" s="61"/>
    </row>
    <row r="30" spans="1:18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14"/>
      <c r="N30" s="61"/>
      <c r="O30" s="61"/>
      <c r="P30" s="61"/>
      <c r="Q30" s="61"/>
      <c r="R30" s="61"/>
    </row>
    <row r="31" spans="1:18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14"/>
      <c r="N31" s="61"/>
      <c r="O31" s="61"/>
      <c r="P31" s="61"/>
      <c r="Q31" s="61"/>
      <c r="R31" s="61"/>
    </row>
    <row r="32" spans="1:18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14"/>
      <c r="N32" s="61"/>
      <c r="O32" s="61"/>
      <c r="P32" s="61"/>
      <c r="Q32" s="61"/>
      <c r="R32" s="61"/>
    </row>
    <row r="33" spans="1:18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4"/>
      <c r="N33" s="61"/>
      <c r="O33" s="61"/>
      <c r="P33" s="61"/>
      <c r="Q33" s="61"/>
      <c r="R33" s="61"/>
    </row>
    <row r="34" spans="1:18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4"/>
      <c r="N34" s="61"/>
      <c r="O34" s="61"/>
      <c r="P34" s="61"/>
      <c r="Q34" s="61"/>
      <c r="R34" s="61"/>
    </row>
    <row r="35" spans="1:18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14"/>
      <c r="N35" s="61"/>
      <c r="O35" s="61"/>
      <c r="P35" s="61"/>
      <c r="Q35" s="61"/>
      <c r="R35" s="61"/>
    </row>
    <row r="36" spans="1:18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4"/>
      <c r="N36" s="61"/>
      <c r="O36" s="61"/>
      <c r="P36" s="61"/>
      <c r="Q36" s="61"/>
      <c r="R36" s="61"/>
    </row>
    <row r="37" spans="1:18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4"/>
      <c r="N37" s="61"/>
      <c r="O37" s="61"/>
      <c r="P37" s="61"/>
      <c r="Q37" s="61"/>
      <c r="R37" s="61"/>
    </row>
    <row r="38" spans="1:18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14"/>
      <c r="N38" s="61"/>
      <c r="O38" s="61"/>
      <c r="P38" s="61"/>
      <c r="Q38" s="61"/>
      <c r="R38" s="61"/>
    </row>
    <row r="39" spans="1:18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14"/>
      <c r="N39" s="61"/>
      <c r="O39" s="61"/>
      <c r="P39" s="61"/>
      <c r="Q39" s="61"/>
      <c r="R39" s="61"/>
    </row>
    <row r="40" spans="1:18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4"/>
      <c r="N40" s="61"/>
      <c r="O40" s="61"/>
      <c r="P40" s="61"/>
      <c r="Q40" s="61"/>
      <c r="R40" s="61"/>
    </row>
  </sheetData>
  <autoFilter ref="B6:S14">
    <filterColumn colId="3"/>
    <filterColumn colId="13"/>
    <filterColumn colId="16"/>
    <sortState ref="B7:W430">
      <sortCondition ref="D6:D430"/>
    </sortState>
  </autoFilter>
  <pageMargins left="0.2" right="0.2" top="0.5" bottom="0.5" header="0.3" footer="0.3"/>
  <pageSetup paperSize="5" scale="71" fitToHeight="23" orientation="landscape" r:id="rId1"/>
  <headerFoot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Normal="100" workbookViewId="0">
      <selection activeCell="C23" sqref="C23"/>
    </sheetView>
  </sheetViews>
  <sheetFormatPr defaultRowHeight="15"/>
  <cols>
    <col min="1" max="1" width="30.85546875" style="2" bestFit="1" customWidth="1"/>
    <col min="2" max="2" width="20.28515625" bestFit="1" customWidth="1"/>
    <col min="3" max="3" width="18" customWidth="1"/>
    <col min="4" max="4" width="25" bestFit="1" customWidth="1"/>
    <col min="5" max="5" width="11" bestFit="1" customWidth="1"/>
    <col min="6" max="6" width="11.85546875" bestFit="1" customWidth="1"/>
    <col min="7" max="7" width="19" bestFit="1" customWidth="1"/>
    <col min="8" max="8" width="21" bestFit="1" customWidth="1"/>
    <col min="9" max="9" width="56.5703125" customWidth="1"/>
  </cols>
  <sheetData>
    <row r="1" spans="1:9">
      <c r="A1" s="3" t="s">
        <v>147</v>
      </c>
      <c r="B1" t="s">
        <v>159</v>
      </c>
      <c r="C1" t="s">
        <v>160</v>
      </c>
      <c r="D1" t="s">
        <v>199</v>
      </c>
      <c r="E1" t="s">
        <v>161</v>
      </c>
      <c r="F1" t="s">
        <v>158</v>
      </c>
      <c r="G1" t="s">
        <v>173</v>
      </c>
      <c r="H1" t="s">
        <v>174</v>
      </c>
      <c r="I1" t="s">
        <v>162</v>
      </c>
    </row>
    <row r="2" spans="1:9">
      <c r="A2" s="4" t="s">
        <v>130</v>
      </c>
      <c r="B2" s="4" t="s">
        <v>163</v>
      </c>
      <c r="C2" s="4" t="s">
        <v>164</v>
      </c>
      <c r="D2" s="5" t="s">
        <v>200</v>
      </c>
      <c r="E2" s="4" t="s">
        <v>157</v>
      </c>
      <c r="F2" s="4" t="s">
        <v>157</v>
      </c>
      <c r="G2" s="4" t="s">
        <v>157</v>
      </c>
      <c r="H2" s="4" t="s">
        <v>157</v>
      </c>
      <c r="I2" s="6"/>
    </row>
    <row r="3" spans="1:9">
      <c r="A3" s="4" t="s">
        <v>142</v>
      </c>
      <c r="B3" s="4" t="s">
        <v>237</v>
      </c>
      <c r="C3" s="4" t="s">
        <v>228</v>
      </c>
      <c r="D3" s="5" t="s">
        <v>236</v>
      </c>
      <c r="E3" s="4" t="s">
        <v>157</v>
      </c>
      <c r="F3" s="4" t="s">
        <v>157</v>
      </c>
      <c r="G3" s="4" t="s">
        <v>157</v>
      </c>
      <c r="H3" s="4" t="s">
        <v>157</v>
      </c>
      <c r="I3" s="6"/>
    </row>
    <row r="4" spans="1:9">
      <c r="A4" s="4" t="s">
        <v>133</v>
      </c>
      <c r="B4" s="4" t="s">
        <v>165</v>
      </c>
      <c r="C4" s="4" t="s">
        <v>216</v>
      </c>
      <c r="D4" s="5" t="s">
        <v>217</v>
      </c>
      <c r="E4" s="4" t="s">
        <v>157</v>
      </c>
      <c r="F4" s="4" t="s">
        <v>157</v>
      </c>
      <c r="G4" s="4" t="s">
        <v>157</v>
      </c>
      <c r="H4" s="4" t="s">
        <v>157</v>
      </c>
      <c r="I4" s="6"/>
    </row>
    <row r="5" spans="1:9">
      <c r="A5" s="4" t="s">
        <v>122</v>
      </c>
      <c r="B5" s="4" t="s">
        <v>166</v>
      </c>
      <c r="C5" s="4" t="s">
        <v>167</v>
      </c>
      <c r="D5" s="5" t="s">
        <v>201</v>
      </c>
      <c r="E5" s="4" t="s">
        <v>157</v>
      </c>
      <c r="F5" s="4" t="s">
        <v>157</v>
      </c>
      <c r="G5" s="4" t="s">
        <v>157</v>
      </c>
      <c r="H5" s="4" t="s">
        <v>157</v>
      </c>
      <c r="I5" s="6"/>
    </row>
    <row r="6" spans="1:9">
      <c r="A6" s="4" t="s">
        <v>120</v>
      </c>
      <c r="B6" s="4" t="s">
        <v>168</v>
      </c>
      <c r="C6" s="4" t="s">
        <v>169</v>
      </c>
      <c r="D6" s="5" t="s">
        <v>202</v>
      </c>
      <c r="E6" s="4" t="s">
        <v>157</v>
      </c>
      <c r="F6" s="4" t="s">
        <v>157</v>
      </c>
      <c r="G6" s="4" t="s">
        <v>157</v>
      </c>
      <c r="H6" s="4" t="s">
        <v>157</v>
      </c>
      <c r="I6" s="6"/>
    </row>
    <row r="7" spans="1:9">
      <c r="A7" s="8" t="s">
        <v>127</v>
      </c>
      <c r="B7" s="8" t="s">
        <v>214</v>
      </c>
      <c r="C7" s="8" t="s">
        <v>170</v>
      </c>
      <c r="D7" s="9" t="s">
        <v>215</v>
      </c>
      <c r="E7" s="8" t="s">
        <v>157</v>
      </c>
      <c r="F7" s="8" t="s">
        <v>157</v>
      </c>
      <c r="G7" s="8" t="s">
        <v>157</v>
      </c>
      <c r="H7" s="8" t="s">
        <v>157</v>
      </c>
      <c r="I7" s="10"/>
    </row>
    <row r="8" spans="1:9">
      <c r="A8" s="4" t="s">
        <v>136</v>
      </c>
      <c r="B8" s="4" t="s">
        <v>229</v>
      </c>
      <c r="C8" s="4" t="s">
        <v>230</v>
      </c>
      <c r="D8" s="5" t="s">
        <v>209</v>
      </c>
      <c r="E8" s="4" t="s">
        <v>157</v>
      </c>
      <c r="F8" s="4" t="s">
        <v>157</v>
      </c>
      <c r="G8" s="4" t="s">
        <v>157</v>
      </c>
      <c r="H8" s="4" t="s">
        <v>157</v>
      </c>
      <c r="I8" s="6"/>
    </row>
    <row r="9" spans="1:9">
      <c r="A9" s="4" t="s">
        <v>123</v>
      </c>
      <c r="B9" s="4" t="s">
        <v>171</v>
      </c>
      <c r="C9" s="4" t="s">
        <v>172</v>
      </c>
      <c r="D9" s="5" t="s">
        <v>203</v>
      </c>
      <c r="E9" s="4" t="s">
        <v>157</v>
      </c>
      <c r="F9" s="4" t="s">
        <v>157</v>
      </c>
      <c r="G9" s="4" t="s">
        <v>157</v>
      </c>
      <c r="H9" s="4" t="s">
        <v>157</v>
      </c>
      <c r="I9" s="6"/>
    </row>
    <row r="10" spans="1:9">
      <c r="A10" s="4" t="s">
        <v>129</v>
      </c>
      <c r="B10" s="4" t="s">
        <v>205</v>
      </c>
      <c r="C10" s="4" t="s">
        <v>218</v>
      </c>
      <c r="D10" s="5" t="s">
        <v>219</v>
      </c>
      <c r="E10" s="4" t="s">
        <v>157</v>
      </c>
      <c r="F10" s="4" t="s">
        <v>157</v>
      </c>
      <c r="G10" s="4" t="s">
        <v>157</v>
      </c>
      <c r="H10" s="4" t="s">
        <v>157</v>
      </c>
      <c r="I10" s="6"/>
    </row>
    <row r="11" spans="1:9">
      <c r="A11" s="4" t="s">
        <v>132</v>
      </c>
      <c r="B11" s="4" t="s">
        <v>175</v>
      </c>
      <c r="C11" s="4" t="s">
        <v>176</v>
      </c>
      <c r="D11" s="5" t="s">
        <v>204</v>
      </c>
      <c r="E11" s="4" t="s">
        <v>157</v>
      </c>
      <c r="F11" s="4" t="s">
        <v>157</v>
      </c>
      <c r="G11" s="4" t="s">
        <v>157</v>
      </c>
      <c r="H11" s="4"/>
      <c r="I11" s="6"/>
    </row>
    <row r="12" spans="1:9">
      <c r="A12" s="4" t="s">
        <v>131</v>
      </c>
      <c r="B12" s="4" t="s">
        <v>207</v>
      </c>
      <c r="C12" s="4" t="s">
        <v>177</v>
      </c>
      <c r="D12" s="5" t="s">
        <v>208</v>
      </c>
      <c r="E12" s="4" t="s">
        <v>157</v>
      </c>
      <c r="F12" s="4" t="s">
        <v>157</v>
      </c>
      <c r="G12" s="4" t="s">
        <v>157</v>
      </c>
      <c r="H12" s="4" t="s">
        <v>157</v>
      </c>
      <c r="I12" s="6"/>
    </row>
    <row r="13" spans="1:9">
      <c r="A13" s="4" t="s">
        <v>121</v>
      </c>
      <c r="B13" s="4" t="s">
        <v>231</v>
      </c>
      <c r="C13" s="4" t="s">
        <v>232</v>
      </c>
      <c r="D13" s="5" t="s">
        <v>233</v>
      </c>
      <c r="E13" s="4" t="s">
        <v>157</v>
      </c>
      <c r="F13" s="4" t="s">
        <v>157</v>
      </c>
      <c r="G13" s="4" t="s">
        <v>157</v>
      </c>
      <c r="H13" s="4" t="s">
        <v>157</v>
      </c>
      <c r="I13" s="6"/>
    </row>
    <row r="14" spans="1:9">
      <c r="A14" s="4" t="s">
        <v>126</v>
      </c>
      <c r="B14" s="4" t="s">
        <v>178</v>
      </c>
      <c r="C14" s="4" t="s">
        <v>179</v>
      </c>
      <c r="D14" s="4"/>
      <c r="E14" s="4" t="s">
        <v>157</v>
      </c>
      <c r="F14" s="4" t="s">
        <v>157</v>
      </c>
      <c r="G14" s="4" t="s">
        <v>157</v>
      </c>
      <c r="H14" s="4" t="s">
        <v>157</v>
      </c>
      <c r="I14" s="6"/>
    </row>
    <row r="15" spans="1:9">
      <c r="A15" s="4" t="s">
        <v>134</v>
      </c>
      <c r="B15" s="4" t="s">
        <v>180</v>
      </c>
      <c r="C15" s="4" t="s">
        <v>181</v>
      </c>
      <c r="D15" s="5" t="s">
        <v>210</v>
      </c>
      <c r="E15" s="4" t="s">
        <v>157</v>
      </c>
      <c r="F15" s="4" t="s">
        <v>157</v>
      </c>
      <c r="G15" s="4" t="s">
        <v>157</v>
      </c>
      <c r="H15" s="4" t="s">
        <v>157</v>
      </c>
      <c r="I15" s="6"/>
    </row>
    <row r="16" spans="1:9">
      <c r="A16" s="4" t="s">
        <v>128</v>
      </c>
      <c r="B16" s="4" t="s">
        <v>182</v>
      </c>
      <c r="C16" s="4" t="s">
        <v>183</v>
      </c>
      <c r="D16" s="5" t="s">
        <v>206</v>
      </c>
      <c r="E16" s="4" t="s">
        <v>157</v>
      </c>
      <c r="F16" s="4" t="s">
        <v>157</v>
      </c>
      <c r="G16" s="4" t="s">
        <v>157</v>
      </c>
      <c r="H16" s="4" t="s">
        <v>157</v>
      </c>
      <c r="I16" s="6"/>
    </row>
    <row r="17" spans="1:9">
      <c r="A17" s="4" t="s">
        <v>137</v>
      </c>
      <c r="B17" s="4" t="s">
        <v>224</v>
      </c>
      <c r="C17" s="4" t="s">
        <v>222</v>
      </c>
      <c r="D17" s="5" t="s">
        <v>235</v>
      </c>
      <c r="E17" s="4" t="s">
        <v>157</v>
      </c>
      <c r="F17" s="4" t="s">
        <v>157</v>
      </c>
      <c r="G17" s="4" t="s">
        <v>157</v>
      </c>
      <c r="H17" s="4" t="s">
        <v>157</v>
      </c>
      <c r="I17" s="6"/>
    </row>
    <row r="18" spans="1:9">
      <c r="A18" s="4" t="s">
        <v>140</v>
      </c>
      <c r="B18" s="4" t="s">
        <v>184</v>
      </c>
      <c r="C18" s="4" t="s">
        <v>185</v>
      </c>
      <c r="D18" s="5" t="s">
        <v>211</v>
      </c>
      <c r="E18" s="4" t="s">
        <v>157</v>
      </c>
      <c r="F18" s="4" t="s">
        <v>157</v>
      </c>
      <c r="G18" s="4" t="s">
        <v>157</v>
      </c>
      <c r="H18" s="4" t="s">
        <v>157</v>
      </c>
      <c r="I18" s="6"/>
    </row>
    <row r="19" spans="1:9">
      <c r="A19" s="4" t="s">
        <v>144</v>
      </c>
      <c r="B19" s="4" t="s">
        <v>186</v>
      </c>
      <c r="C19" s="4" t="s">
        <v>187</v>
      </c>
      <c r="D19" s="4"/>
      <c r="E19" s="4" t="s">
        <v>157</v>
      </c>
      <c r="F19" s="4" t="s">
        <v>157</v>
      </c>
      <c r="G19" s="4" t="s">
        <v>157</v>
      </c>
      <c r="H19" s="4" t="s">
        <v>157</v>
      </c>
      <c r="I19" s="6"/>
    </row>
    <row r="20" spans="1:9">
      <c r="A20" s="4" t="s">
        <v>146</v>
      </c>
      <c r="B20" s="4" t="s">
        <v>188</v>
      </c>
      <c r="C20" s="4" t="s">
        <v>212</v>
      </c>
      <c r="D20" s="4"/>
      <c r="E20" s="4" t="s">
        <v>157</v>
      </c>
      <c r="F20" s="4" t="s">
        <v>157</v>
      </c>
      <c r="G20" s="4" t="s">
        <v>157</v>
      </c>
      <c r="H20" s="4" t="s">
        <v>157</v>
      </c>
      <c r="I20" s="6"/>
    </row>
    <row r="21" spans="1:9">
      <c r="A21" s="4" t="s">
        <v>124</v>
      </c>
      <c r="B21" s="4" t="s">
        <v>189</v>
      </c>
      <c r="C21" s="4" t="s">
        <v>190</v>
      </c>
      <c r="D21" s="5" t="s">
        <v>213</v>
      </c>
      <c r="E21" s="4" t="s">
        <v>157</v>
      </c>
      <c r="F21" s="4" t="s">
        <v>157</v>
      </c>
      <c r="G21" s="4" t="s">
        <v>157</v>
      </c>
      <c r="H21" s="4" t="s">
        <v>157</v>
      </c>
      <c r="I21" s="6"/>
    </row>
    <row r="22" spans="1:9">
      <c r="A22" s="4" t="s">
        <v>139</v>
      </c>
      <c r="B22" s="4" t="s">
        <v>191</v>
      </c>
      <c r="C22" s="4" t="s">
        <v>220</v>
      </c>
      <c r="D22" s="5" t="s">
        <v>234</v>
      </c>
      <c r="E22" s="4" t="s">
        <v>157</v>
      </c>
      <c r="F22" s="4" t="s">
        <v>157</v>
      </c>
      <c r="G22" s="4" t="s">
        <v>157</v>
      </c>
      <c r="H22" s="4" t="s">
        <v>157</v>
      </c>
      <c r="I22" s="6"/>
    </row>
    <row r="23" spans="1:9">
      <c r="A23" s="4" t="s">
        <v>141</v>
      </c>
      <c r="B23" s="4" t="s">
        <v>225</v>
      </c>
      <c r="C23" s="4" t="s">
        <v>192</v>
      </c>
      <c r="D23" s="5" t="s">
        <v>226</v>
      </c>
      <c r="E23" s="4" t="s">
        <v>157</v>
      </c>
      <c r="F23" s="4" t="s">
        <v>157</v>
      </c>
      <c r="G23" s="4" t="s">
        <v>157</v>
      </c>
      <c r="H23" s="4" t="s">
        <v>157</v>
      </c>
      <c r="I23" s="6"/>
    </row>
    <row r="24" spans="1:9">
      <c r="A24" s="8" t="s">
        <v>138</v>
      </c>
      <c r="B24" s="8" t="s">
        <v>193</v>
      </c>
      <c r="C24" s="8" t="s">
        <v>194</v>
      </c>
      <c r="D24" s="9" t="s">
        <v>223</v>
      </c>
      <c r="E24" s="8" t="s">
        <v>157</v>
      </c>
      <c r="F24" s="8" t="s">
        <v>157</v>
      </c>
      <c r="G24" s="4" t="s">
        <v>157</v>
      </c>
      <c r="H24" s="4" t="s">
        <v>157</v>
      </c>
      <c r="I24" s="10"/>
    </row>
    <row r="25" spans="1:9">
      <c r="A25" s="7" t="s">
        <v>145</v>
      </c>
      <c r="B25" s="7" t="s">
        <v>195</v>
      </c>
      <c r="C25" s="7" t="s">
        <v>196</v>
      </c>
      <c r="D25" s="7"/>
      <c r="E25" s="4" t="s">
        <v>157</v>
      </c>
      <c r="F25" s="4" t="s">
        <v>157</v>
      </c>
      <c r="G25" s="4" t="s">
        <v>157</v>
      </c>
      <c r="H25" s="4" t="s">
        <v>157</v>
      </c>
      <c r="I25" s="6"/>
    </row>
    <row r="26" spans="1:9">
      <c r="A26" s="4" t="s">
        <v>143</v>
      </c>
      <c r="B26" s="4" t="s">
        <v>197</v>
      </c>
      <c r="C26" s="4" t="s">
        <v>198</v>
      </c>
      <c r="D26" s="4"/>
      <c r="E26" s="4" t="s">
        <v>157</v>
      </c>
      <c r="F26" s="4" t="s">
        <v>157</v>
      </c>
      <c r="G26" s="4" t="s">
        <v>157</v>
      </c>
      <c r="H26" s="4" t="s">
        <v>157</v>
      </c>
      <c r="I26" s="6"/>
    </row>
  </sheetData>
  <hyperlinks>
    <hyperlink ref="D2" r:id="rId1"/>
    <hyperlink ref="D5" r:id="rId2"/>
    <hyperlink ref="D6" r:id="rId3"/>
    <hyperlink ref="D9" r:id="rId4"/>
    <hyperlink ref="D11" r:id="rId5"/>
    <hyperlink ref="D16" r:id="rId6"/>
    <hyperlink ref="D12" r:id="rId7"/>
    <hyperlink ref="D8" r:id="rId8"/>
    <hyperlink ref="D15" r:id="rId9"/>
    <hyperlink ref="D18" r:id="rId10"/>
    <hyperlink ref="D21" r:id="rId11"/>
    <hyperlink ref="D7" r:id="rId12"/>
    <hyperlink ref="D4" r:id="rId13"/>
    <hyperlink ref="D10" r:id="rId14"/>
    <hyperlink ref="D22" r:id="rId15"/>
    <hyperlink ref="D24" r:id="rId16"/>
    <hyperlink ref="D23" r:id="rId17"/>
    <hyperlink ref="D13" r:id="rId18"/>
    <hyperlink ref="D3" r:id="rId19"/>
    <hyperlink ref="D17" r:id="rId20"/>
  </hyperlinks>
  <pageMargins left="0.7" right="0.7" top="0.75" bottom="0.75" header="0.3" footer="0.3"/>
  <pageSetup paperSize="5" scale="79" orientation="landscape" horizontalDpi="1200" verticalDpi="120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2005</vt:lpstr>
      <vt:lpstr>2006</vt:lpstr>
      <vt:lpstr>2007</vt:lpstr>
      <vt:lpstr>2008</vt:lpstr>
      <vt:lpstr>2009</vt:lpstr>
      <vt:lpstr>2010</vt:lpstr>
      <vt:lpstr>2011 and Grand Totals</vt:lpstr>
      <vt:lpstr>Contact info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 and Grand Totals'!Print_Area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 and Grand Totals'!Print_Titles</vt:lpstr>
    </vt:vector>
  </TitlesOfParts>
  <Company>LDNR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staceyt</dc:creator>
  <cp:lastModifiedBy>PatrickCo</cp:lastModifiedBy>
  <cp:lastPrinted>2011-07-18T20:46:03Z</cp:lastPrinted>
  <dcterms:created xsi:type="dcterms:W3CDTF">2011-04-11T15:54:05Z</dcterms:created>
  <dcterms:modified xsi:type="dcterms:W3CDTF">2011-07-22T19:05:08Z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-2018305750</vt:i4>
  </property>
  <property fmtid="{D5CDD505-2E9C-101B-9397-08002B2CF9AE}" pid="3" name="_NewReviewCycle">
    <vt:lpwstr/>
  </property>
  <property fmtid="{D5CDD505-2E9C-101B-9397-08002B2CF9AE}" pid="4" name="_EmailSubject">
    <vt:lpwstr>Attachments and recommended link spots</vt:lpwstr>
  </property>
  <property fmtid="{D5CDD505-2E9C-101B-9397-08002B2CF9AE}" pid="5" name="_AuthorEmail">
    <vt:lpwstr>Patrick.Courreges@LA.GOV</vt:lpwstr>
  </property>
  <property fmtid="{D5CDD505-2E9C-101B-9397-08002B2CF9AE}" pid="6" name="_AuthorEmailDisplayName">
    <vt:lpwstr>Patrick Courreges</vt:lpwstr>
  </property>
  <property fmtid="{D5CDD505-2E9C-101B-9397-08002B2CF9AE}" pid="7" name="_PreviousAdHocReviewCycleID">
    <vt:i4>2015964163</vt:i4>
  </property>
</Properties>
</file>